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 showInkAnnotation="0" autoCompressPictures="0"/>
  <bookViews>
    <workbookView xWindow="705" yWindow="1245" windowWidth="15480" windowHeight="11640" tabRatio="500"/>
  </bookViews>
  <sheets>
    <sheet name="Sheet1" sheetId="1" r:id="rId1"/>
  </sheets>
  <definedNames>
    <definedName name="_xlnm.Print_Area" localSheetId="0">Sheet1!$A$1:$J$55</definedName>
  </definedNames>
  <calcPr calcId="14562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41" i="1" l="1"/>
  <c r="H42" i="1"/>
  <c r="H43" i="1"/>
  <c r="C12" i="1"/>
  <c r="D35" i="1"/>
  <c r="H35" i="1" s="1"/>
  <c r="B15" i="1" l="1"/>
  <c r="D30" i="1" l="1"/>
  <c r="E30" i="1"/>
  <c r="F30" i="1"/>
  <c r="G30" i="1"/>
  <c r="H30" i="1"/>
  <c r="I30" i="1"/>
  <c r="F17" i="1"/>
  <c r="E13" i="1"/>
  <c r="E16" i="1"/>
  <c r="D21" i="1"/>
  <c r="H23" i="1"/>
  <c r="I34" i="1"/>
  <c r="B31" i="1"/>
  <c r="F26" i="1"/>
  <c r="E29" i="1"/>
  <c r="I21" i="1"/>
  <c r="E9" i="1"/>
  <c r="I29" i="1"/>
  <c r="G29" i="1"/>
  <c r="D36" i="1"/>
  <c r="H36" i="1" s="1"/>
  <c r="D22" i="1" l="1"/>
  <c r="D23" i="1" s="1"/>
  <c r="H22" i="1" s="1"/>
  <c r="B29" i="1" s="1"/>
  <c r="D40" i="1"/>
  <c r="H40" i="1" s="1"/>
  <c r="D18" i="1"/>
  <c r="D33" i="1" l="1"/>
  <c r="D37" i="1" s="1"/>
  <c r="B30" i="1"/>
  <c r="D24" i="1"/>
  <c r="H25" i="1"/>
  <c r="D29" i="1"/>
  <c r="D25" i="1"/>
  <c r="I23" i="1" s="1"/>
  <c r="I24" i="1" s="1"/>
  <c r="H24" i="1"/>
  <c r="I22" i="1"/>
  <c r="D34" i="1" l="1"/>
  <c r="H34" i="1" s="1"/>
  <c r="H33" i="1"/>
  <c r="H37" i="1"/>
  <c r="F29" i="1"/>
  <c r="H29" i="1" s="1"/>
  <c r="I25" i="1"/>
  <c r="D38" i="1"/>
  <c r="D39" i="1" l="1"/>
  <c r="H39" i="1" s="1"/>
  <c r="H38" i="1"/>
  <c r="H44" i="1" l="1"/>
  <c r="G45" i="1" s="1"/>
  <c r="H45" i="1" s="1"/>
  <c r="H46" i="1" s="1"/>
</calcChain>
</file>

<file path=xl/sharedStrings.xml><?xml version="1.0" encoding="utf-8"?>
<sst xmlns="http://schemas.openxmlformats.org/spreadsheetml/2006/main" count="75" uniqueCount="73">
  <si>
    <t xml:space="preserve">Number of FULL AES Pipe lengths per row </t>
  </si>
  <si>
    <t xml:space="preserve">Length  </t>
  </si>
  <si>
    <t xml:space="preserve">          AES dimensions</t>
  </si>
  <si>
    <t xml:space="preserve">Width m:(W) </t>
  </si>
  <si>
    <t xml:space="preserve">Is this design a gravity system    Y or N        </t>
  </si>
  <si>
    <t xml:space="preserve">  AES System</t>
  </si>
  <si>
    <t>AES-PIPE</t>
  </si>
  <si>
    <t>Area m2</t>
  </si>
  <si>
    <t xml:space="preserve">Number of person       </t>
  </si>
  <si>
    <t xml:space="preserve">Is this a new home installation     Y or N       </t>
  </si>
  <si>
    <t xml:space="preserve">m3 </t>
  </si>
  <si>
    <t xml:space="preserve">AES 3 mtr Lths required </t>
  </si>
  <si>
    <t>m2</t>
  </si>
  <si>
    <t>AESO Offset adaptors</t>
  </si>
  <si>
    <t>ltr.</t>
  </si>
  <si>
    <t>AESC Couplings required</t>
  </si>
  <si>
    <t>Width</t>
  </si>
  <si>
    <t xml:space="preserve">Daily Design Flow Allowance Litre/Person/Day       </t>
  </si>
  <si>
    <t xml:space="preserve">      IMPORTANT  NOTES</t>
  </si>
  <si>
    <t xml:space="preserve">Min Length of AES pipe rows to treat loading    </t>
  </si>
  <si>
    <t xml:space="preserve">Buffer Capacity of AES System pipe in Litres    </t>
  </si>
  <si>
    <t>Sand Depth :</t>
  </si>
  <si>
    <t xml:space="preserve">     Minimum AES foot print required .</t>
  </si>
  <si>
    <t>AES System Calculator Outcomes</t>
  </si>
  <si>
    <t xml:space="preserve">      AES INFILTRATION FOOT PRINT AREA -    L = Q / ( DLR x W)</t>
  </si>
  <si>
    <t xml:space="preserve">Total System load - litres / day  (Q).    </t>
  </si>
  <si>
    <t xml:space="preserve">Lth m : (L) </t>
  </si>
  <si>
    <t xml:space="preserve">Design Loading Rate based on site &amp; soil evaluation DLR (mm/day)       </t>
  </si>
  <si>
    <t>l/d</t>
  </si>
  <si>
    <t>lm</t>
  </si>
  <si>
    <t>lths</t>
  </si>
  <si>
    <t>AESC</t>
  </si>
  <si>
    <t>AESO</t>
  </si>
  <si>
    <t>AESODV</t>
  </si>
  <si>
    <t>AES Oxgen demand vent</t>
  </si>
  <si>
    <t xml:space="preserve">                                            "Always the BEST Option" until site and soil conditions rule it out.</t>
  </si>
  <si>
    <t>AES Additional infiltration extension required</t>
  </si>
  <si>
    <t xml:space="preserve"> conditions referencing as specified in AS/NZS 1547:2012 are calculated and designed by a Qualified Designer </t>
  </si>
  <si>
    <t xml:space="preserve">Infiltration surface Soil Category established by site and soil evaluation. CATEGORY      </t>
  </si>
  <si>
    <t xml:space="preserve">&gt; AES pipes can be cut to length on site. They are supplied in 3 metre lengths only. </t>
  </si>
  <si>
    <t>Use 2 rows. Actual design may vary but price will not materially alter</t>
  </si>
  <si>
    <t>Find % slope by vertical height change divided by horizontal length x 100  eg 1/5x100=20%</t>
  </si>
  <si>
    <t xml:space="preserve"> AES Wastewater Approximate Cost Calculator </t>
  </si>
  <si>
    <t>litres</t>
  </si>
  <si>
    <t>Septic Tank Size (Minimum) Required (Varies upward depending on local rules)</t>
  </si>
  <si>
    <t>Rate</t>
  </si>
  <si>
    <t>$Sum</t>
  </si>
  <si>
    <r>
      <rPr>
        <b/>
        <sz val="14"/>
        <rFont val="Times CE"/>
      </rPr>
      <t>m3</t>
    </r>
    <r>
      <rPr>
        <sz val="14"/>
        <rFont val="Times CE"/>
        <charset val="238"/>
      </rPr>
      <t xml:space="preserve"> </t>
    </r>
  </si>
  <si>
    <t>days</t>
  </si>
  <si>
    <t>LS</t>
  </si>
  <si>
    <t>Total Estimated Installed Cost</t>
  </si>
  <si>
    <t xml:space="preserve">System (Coarse washed approx .5mm -5mm)Sand Required   Guide Only   </t>
  </si>
  <si>
    <t>Freight AES Components, Nelson to your site(Check your freight co or call us)</t>
  </si>
  <si>
    <t>Septic Tank Cost (Estimate of $2500.00 for a 3000litre concrete tank)</t>
  </si>
  <si>
    <t>Freight on Septic Tank to your site. Hiab Truck Hours</t>
  </si>
  <si>
    <t>hrs</t>
  </si>
  <si>
    <t>GST</t>
  </si>
  <si>
    <t>Sub Total</t>
  </si>
  <si>
    <r>
      <t xml:space="preserve">Installation,  Rough Estimate oflabour and digger </t>
    </r>
    <r>
      <rPr>
        <b/>
        <sz val="14"/>
        <rFont val="Times CE"/>
      </rPr>
      <t>contact your drainlayer</t>
    </r>
  </si>
  <si>
    <t>Delivery Cost of Sand. Check with Sand supplier</t>
  </si>
  <si>
    <t xml:space="preserve">This Spreadsheet will allow you to calculate an Estimated Installed Cost for </t>
  </si>
  <si>
    <t xml:space="preserve">an AES system on your site. You need to fill in the Yellow cells with your data. </t>
  </si>
  <si>
    <t>This Cost Calculator is a guide only. Receiving soil classification, surface water, water tables and all other site constraints are required to be addressed by the Wastewater design.</t>
  </si>
  <si>
    <t xml:space="preserve">&gt; The AES Cost Calculator is a costing  aid to allow checking of the AES components and configuration and is a guide only. Site and soil </t>
  </si>
  <si>
    <t>&gt; Environment Technology has no responsibility for the figures inputted as either soil evaluation, loading calculations or DLR entered by the user for this calculator.</t>
  </si>
  <si>
    <t>AES-Cost -Calculator-Slope-Trench</t>
  </si>
  <si>
    <t>info@environmenttechnology.co.nz</t>
  </si>
  <si>
    <t>AES System Bill of Materials Required.</t>
  </si>
  <si>
    <t>Approx without site evaluation: - Sand Category 2, Soil Structured Cat3, Soil Cat 4, Clay Cat 5 - 6</t>
  </si>
  <si>
    <t>Cat2:- 50mm/day, Cat3: - 30mm/day, Cat4: -20mm/day, Cat5: - 10mm/day, Cat6: - 5mm/day</t>
  </si>
  <si>
    <t>Calculate persons using the number of bedrooms x 2 for each bedroom( Approximation)</t>
  </si>
  <si>
    <t>180 lires per day for rainwater storage and 200 litres/day for bore or mains water supply</t>
  </si>
  <si>
    <t>Contact us on 0800 WasteH2O   or your Drainlayer for more advice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</si>
</sst>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;[Red]\-&quot;$&quot;#,##0"/>
    <numFmt numFmtId="8" formatCode="&quot;$&quot;#,##0.00;[Red]\-&quot;$&quot;#,##0.00"/>
    <numFmt numFmtId="164" formatCode="0.0"/>
  </numFmts>
  <fonts count="47">
    <font>
      <sz val="10"/>
      <name val="Times CE"/>
      <charset val="238"/>
    </font>
    <font>
      <b/>
      <sz val="10"/>
      <name val="Times CE"/>
      <charset val="238"/>
    </font>
    <font>
      <sz val="10"/>
      <name val="Times CE"/>
      <charset val="238"/>
    </font>
    <font>
      <sz val="8"/>
      <name val="Times CE"/>
      <charset val="238"/>
    </font>
    <font>
      <u/>
      <sz val="10"/>
      <color indexed="12"/>
      <name val="Times CE"/>
      <charset val="238"/>
    </font>
    <font>
      <b/>
      <sz val="12"/>
      <name val="Times CE"/>
      <charset val="238"/>
    </font>
    <font>
      <sz val="10"/>
      <color indexed="10"/>
      <name val="Times CE"/>
      <charset val="238"/>
    </font>
    <font>
      <sz val="12"/>
      <name val="Times CE"/>
      <charset val="238"/>
    </font>
    <font>
      <sz val="16"/>
      <color indexed="9"/>
      <name val="Times CE"/>
      <charset val="238"/>
    </font>
    <font>
      <b/>
      <sz val="16"/>
      <color indexed="9"/>
      <name val="Times CE"/>
      <charset val="238"/>
    </font>
    <font>
      <b/>
      <sz val="13"/>
      <name val="Times CE"/>
      <charset val="238"/>
    </font>
    <font>
      <sz val="10"/>
      <name val="Times CE"/>
      <charset val="238"/>
    </font>
    <font>
      <b/>
      <sz val="10"/>
      <color indexed="10"/>
      <name val="Times CE"/>
      <charset val="238"/>
    </font>
    <font>
      <b/>
      <i/>
      <sz val="14"/>
      <color indexed="48"/>
      <name val="Times CE"/>
    </font>
    <font>
      <sz val="10"/>
      <color indexed="48"/>
      <name val="Times CE"/>
    </font>
    <font>
      <sz val="10"/>
      <color indexed="9"/>
      <name val="Times CE"/>
    </font>
    <font>
      <sz val="10"/>
      <color indexed="9"/>
      <name val="Times CE"/>
    </font>
    <font>
      <sz val="10"/>
      <color indexed="10"/>
      <name val="Times CE"/>
      <charset val="238"/>
    </font>
    <font>
      <b/>
      <sz val="10"/>
      <color indexed="10"/>
      <name val="Times"/>
    </font>
    <font>
      <b/>
      <u/>
      <sz val="10"/>
      <color indexed="48"/>
      <name val="Times CE"/>
    </font>
    <font>
      <sz val="12"/>
      <color indexed="9"/>
      <name val="Times CE"/>
    </font>
    <font>
      <sz val="14"/>
      <color indexed="9"/>
      <name val="Times CE"/>
    </font>
    <font>
      <b/>
      <sz val="12"/>
      <name val="Times CE"/>
    </font>
    <font>
      <i/>
      <sz val="12"/>
      <color indexed="10"/>
      <name val="Times CE"/>
    </font>
    <font>
      <b/>
      <sz val="12"/>
      <color indexed="10"/>
      <name val="Times CE"/>
    </font>
    <font>
      <b/>
      <sz val="14"/>
      <name val="Times CE"/>
      <charset val="238"/>
    </font>
    <font>
      <b/>
      <sz val="14"/>
      <name val="Times"/>
    </font>
    <font>
      <sz val="14"/>
      <name val="Times CE"/>
      <charset val="238"/>
    </font>
    <font>
      <b/>
      <i/>
      <sz val="14"/>
      <name val="Times CE"/>
      <charset val="238"/>
    </font>
    <font>
      <b/>
      <sz val="14"/>
      <name val="Times CE"/>
    </font>
    <font>
      <b/>
      <sz val="14"/>
      <color indexed="8"/>
      <name val="Times"/>
    </font>
    <font>
      <b/>
      <sz val="14"/>
      <color indexed="10"/>
      <name val="Times CE"/>
      <charset val="238"/>
    </font>
    <font>
      <b/>
      <sz val="14"/>
      <color indexed="9"/>
      <name val="Times CE"/>
      <charset val="238"/>
    </font>
    <font>
      <sz val="14"/>
      <color indexed="9"/>
      <name val="Times CE"/>
      <charset val="238"/>
    </font>
    <font>
      <b/>
      <sz val="14"/>
      <color indexed="48"/>
      <name val="Times CE"/>
    </font>
    <font>
      <b/>
      <u/>
      <sz val="14"/>
      <color indexed="12"/>
      <name val="Times CE"/>
    </font>
    <font>
      <b/>
      <sz val="11"/>
      <name val="Times CE"/>
      <charset val="238"/>
    </font>
    <font>
      <b/>
      <sz val="10"/>
      <name val="Times CE"/>
    </font>
    <font>
      <b/>
      <sz val="20"/>
      <color rgb="FF00B050"/>
      <name val="Arial Rounded MT Bold"/>
      <family val="2"/>
    </font>
    <font>
      <b/>
      <sz val="12"/>
      <color indexed="9"/>
      <name val="Times CE"/>
    </font>
    <font>
      <b/>
      <sz val="14"/>
      <color indexed="9"/>
      <name val="Times CE"/>
    </font>
    <font>
      <b/>
      <sz val="16"/>
      <color indexed="9"/>
      <name val="Times CE"/>
    </font>
    <font>
      <sz val="14"/>
      <name val="Times CE"/>
    </font>
    <font>
      <b/>
      <u/>
      <sz val="10"/>
      <name val="Times CE"/>
      <charset val="238"/>
    </font>
    <font>
      <u/>
      <sz val="10"/>
      <name val="Times CE"/>
      <charset val="238"/>
    </font>
    <font>
      <b/>
      <u/>
      <sz val="12"/>
      <name val="Times CE"/>
      <charset val="238"/>
    </font>
    <font>
      <b/>
      <sz val="16"/>
      <name val="Times CE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57">
    <xf numFmtId="0" fontId="0" fillId="0" borderId="0" xfId="0"/>
    <xf numFmtId="0" fontId="0" fillId="0" borderId="0" xfId="0" applyFill="1" applyBorder="1" applyProtection="1"/>
    <xf numFmtId="0" fontId="0" fillId="0" borderId="0" xfId="0" applyBorder="1" applyProtection="1"/>
    <xf numFmtId="0" fontId="0" fillId="0" borderId="0" xfId="0" applyProtection="1"/>
    <xf numFmtId="0" fontId="5" fillId="0" borderId="0" xfId="0" applyFont="1" applyBorder="1" applyProtection="1"/>
    <xf numFmtId="0" fontId="7" fillId="0" borderId="0" xfId="0" applyFont="1" applyFill="1" applyBorder="1" applyProtection="1"/>
    <xf numFmtId="0" fontId="7" fillId="0" borderId="0" xfId="0" applyFont="1" applyProtection="1"/>
    <xf numFmtId="0" fontId="7" fillId="0" borderId="0" xfId="0" applyFont="1" applyBorder="1" applyProtection="1"/>
    <xf numFmtId="0" fontId="2" fillId="0" borderId="0" xfId="0" applyFont="1" applyProtection="1"/>
    <xf numFmtId="0" fontId="7" fillId="0" borderId="0" xfId="0" applyFont="1" applyFill="1" applyProtection="1"/>
    <xf numFmtId="0" fontId="6" fillId="0" borderId="0" xfId="0" applyFont="1" applyBorder="1" applyProtection="1"/>
    <xf numFmtId="1" fontId="0" fillId="0" borderId="0" xfId="0" applyNumberFormat="1" applyBorder="1" applyAlignment="1" applyProtection="1">
      <alignment horizontal="center"/>
    </xf>
    <xf numFmtId="0" fontId="0" fillId="0" borderId="0" xfId="0" applyFill="1" applyProtection="1"/>
    <xf numFmtId="0" fontId="8" fillId="0" borderId="0" xfId="0" applyFont="1" applyFill="1" applyBorder="1" applyProtection="1"/>
    <xf numFmtId="0" fontId="9" fillId="0" borderId="0" xfId="0" applyFont="1" applyFill="1" applyBorder="1" applyAlignment="1" applyProtection="1">
      <alignment vertical="center"/>
    </xf>
    <xf numFmtId="0" fontId="5" fillId="0" borderId="0" xfId="0" applyFont="1" applyProtection="1"/>
    <xf numFmtId="0" fontId="10" fillId="0" borderId="0" xfId="0" applyFont="1" applyProtection="1"/>
    <xf numFmtId="0" fontId="0" fillId="0" borderId="0" xfId="0" applyAlignment="1">
      <alignment horizontal="left"/>
    </xf>
    <xf numFmtId="0" fontId="11" fillId="0" borderId="0" xfId="0" applyFont="1" applyBorder="1" applyProtection="1"/>
    <xf numFmtId="16" fontId="7" fillId="0" borderId="0" xfId="0" applyNumberFormat="1" applyFont="1" applyProtection="1"/>
    <xf numFmtId="0" fontId="7" fillId="0" borderId="0" xfId="0" applyFont="1" applyBorder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0" fontId="7" fillId="0" borderId="0" xfId="0" applyFont="1" applyFill="1" applyBorder="1" applyAlignment="1" applyProtection="1">
      <alignment vertical="center"/>
    </xf>
    <xf numFmtId="0" fontId="0" fillId="0" borderId="0" xfId="0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0" fontId="12" fillId="4" borderId="0" xfId="0" applyFont="1" applyFill="1" applyBorder="1" applyAlignment="1" applyProtection="1">
      <alignment vertical="center"/>
    </xf>
    <xf numFmtId="0" fontId="8" fillId="0" borderId="10" xfId="0" applyFont="1" applyFill="1" applyBorder="1" applyProtection="1"/>
    <xf numFmtId="0" fontId="0" fillId="0" borderId="7" xfId="0" applyBorder="1" applyProtection="1"/>
    <xf numFmtId="0" fontId="0" fillId="0" borderId="10" xfId="0" applyBorder="1" applyProtection="1"/>
    <xf numFmtId="0" fontId="12" fillId="4" borderId="10" xfId="0" applyFont="1" applyFill="1" applyBorder="1" applyAlignment="1" applyProtection="1">
      <alignment vertical="center"/>
    </xf>
    <xf numFmtId="0" fontId="0" fillId="0" borderId="5" xfId="0" applyNumberFormat="1" applyFont="1" applyFill="1" applyBorder="1" applyProtection="1"/>
    <xf numFmtId="0" fontId="0" fillId="0" borderId="7" xfId="0" applyNumberFormat="1" applyFont="1" applyFill="1" applyBorder="1" applyAlignment="1" applyProtection="1">
      <alignment horizontal="center"/>
    </xf>
    <xf numFmtId="0" fontId="0" fillId="0" borderId="7" xfId="0" applyNumberFormat="1" applyFont="1" applyFill="1" applyBorder="1" applyProtection="1"/>
    <xf numFmtId="0" fontId="0" fillId="0" borderId="7" xfId="0" applyNumberFormat="1" applyFont="1" applyBorder="1" applyProtection="1"/>
    <xf numFmtId="0" fontId="0" fillId="2" borderId="1" xfId="0" applyFont="1" applyFill="1" applyBorder="1" applyAlignment="1" applyProtection="1">
      <alignment vertical="center"/>
    </xf>
    <xf numFmtId="0" fontId="0" fillId="3" borderId="1" xfId="0" applyFont="1" applyFill="1" applyBorder="1" applyAlignment="1" applyProtection="1">
      <alignment vertical="center"/>
    </xf>
    <xf numFmtId="0" fontId="0" fillId="2" borderId="3" xfId="0" applyFont="1" applyFill="1" applyBorder="1" applyAlignment="1" applyProtection="1">
      <alignment vertical="center"/>
    </xf>
    <xf numFmtId="0" fontId="0" fillId="0" borderId="7" xfId="0" applyFont="1" applyBorder="1" applyAlignment="1" applyProtection="1">
      <alignment horizontal="center" vertical="center" wrapText="1"/>
    </xf>
    <xf numFmtId="0" fontId="0" fillId="2" borderId="2" xfId="0" applyFont="1" applyFill="1" applyBorder="1" applyAlignment="1" applyProtection="1">
      <alignment vertical="center"/>
    </xf>
    <xf numFmtId="0" fontId="0" fillId="2" borderId="12" xfId="0" applyFont="1" applyFill="1" applyBorder="1" applyAlignment="1" applyProtection="1">
      <alignment vertical="center"/>
    </xf>
    <xf numFmtId="0" fontId="0" fillId="6" borderId="4" xfId="0" applyNumberFormat="1" applyFont="1" applyFill="1" applyBorder="1" applyAlignment="1" applyProtection="1">
      <alignment vertical="center"/>
    </xf>
    <xf numFmtId="0" fontId="0" fillId="6" borderId="1" xfId="0" applyNumberFormat="1" applyFont="1" applyFill="1" applyBorder="1" applyAlignment="1" applyProtection="1">
      <alignment vertical="center"/>
    </xf>
    <xf numFmtId="0" fontId="14" fillId="6" borderId="1" xfId="0" applyNumberFormat="1" applyFont="1" applyFill="1" applyBorder="1" applyAlignment="1" applyProtection="1">
      <alignment vertical="center"/>
    </xf>
    <xf numFmtId="0" fontId="0" fillId="6" borderId="3" xfId="0" applyNumberFormat="1" applyFont="1" applyFill="1" applyBorder="1" applyAlignment="1" applyProtection="1">
      <alignment vertical="center"/>
    </xf>
    <xf numFmtId="0" fontId="0" fillId="4" borderId="8" xfId="0" applyNumberFormat="1" applyFont="1" applyFill="1" applyBorder="1" applyProtection="1"/>
    <xf numFmtId="0" fontId="0" fillId="4" borderId="9" xfId="0" applyNumberFormat="1" applyFont="1" applyFill="1" applyBorder="1" applyProtection="1"/>
    <xf numFmtId="0" fontId="0" fillId="4" borderId="0" xfId="0" applyNumberFormat="1" applyFont="1" applyFill="1" applyBorder="1" applyProtection="1"/>
    <xf numFmtId="0" fontId="0" fillId="4" borderId="10" xfId="0" applyNumberFormat="1" applyFont="1" applyFill="1" applyBorder="1" applyProtection="1"/>
    <xf numFmtId="0" fontId="0" fillId="4" borderId="0" xfId="0" applyNumberFormat="1" applyFont="1" applyFill="1" applyBorder="1" applyAlignment="1" applyProtection="1">
      <alignment vertical="center"/>
    </xf>
    <xf numFmtId="0" fontId="0" fillId="4" borderId="10" xfId="0" applyNumberFormat="1" applyFont="1" applyFill="1" applyBorder="1" applyAlignment="1" applyProtection="1">
      <alignment vertical="center"/>
    </xf>
    <xf numFmtId="0" fontId="0" fillId="0" borderId="11" xfId="0" applyFont="1" applyBorder="1" applyProtection="1"/>
    <xf numFmtId="0" fontId="0" fillId="0" borderId="2" xfId="0" applyFont="1" applyBorder="1" applyProtection="1"/>
    <xf numFmtId="0" fontId="0" fillId="0" borderId="7" xfId="0" applyFont="1" applyBorder="1" applyProtection="1"/>
    <xf numFmtId="0" fontId="0" fillId="0" borderId="0" xfId="0" applyFont="1" applyBorder="1" applyProtection="1"/>
    <xf numFmtId="0" fontId="0" fillId="0" borderId="0" xfId="0" applyNumberFormat="1" applyFont="1" applyBorder="1" applyProtection="1"/>
    <xf numFmtId="0" fontId="1" fillId="0" borderId="0" xfId="0" applyNumberFormat="1" applyFont="1" applyBorder="1" applyAlignment="1" applyProtection="1">
      <alignment horizontal="left"/>
    </xf>
    <xf numFmtId="0" fontId="0" fillId="0" borderId="10" xfId="0" applyNumberFormat="1" applyFont="1" applyBorder="1" applyProtection="1"/>
    <xf numFmtId="0" fontId="0" fillId="0" borderId="10" xfId="0" applyFont="1" applyBorder="1" applyProtection="1"/>
    <xf numFmtId="0" fontId="1" fillId="4" borderId="7" xfId="0" applyFont="1" applyFill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0" fillId="6" borderId="4" xfId="0" applyFont="1" applyFill="1" applyBorder="1" applyProtection="1"/>
    <xf numFmtId="0" fontId="0" fillId="6" borderId="1" xfId="0" applyFont="1" applyFill="1" applyBorder="1" applyProtection="1"/>
    <xf numFmtId="0" fontId="0" fillId="6" borderId="3" xfId="0" applyFont="1" applyFill="1" applyBorder="1" applyProtection="1"/>
    <xf numFmtId="0" fontId="16" fillId="6" borderId="17" xfId="0" applyFont="1" applyFill="1" applyBorder="1" applyProtection="1"/>
    <xf numFmtId="0" fontId="16" fillId="6" borderId="19" xfId="0" applyFont="1" applyFill="1" applyBorder="1" applyProtection="1"/>
    <xf numFmtId="0" fontId="0" fillId="0" borderId="9" xfId="0" applyFont="1" applyBorder="1" applyProtection="1"/>
    <xf numFmtId="0" fontId="17" fillId="4" borderId="1" xfId="0" applyFont="1" applyFill="1" applyBorder="1" applyAlignment="1" applyProtection="1">
      <alignment vertical="center"/>
    </xf>
    <xf numFmtId="0" fontId="12" fillId="4" borderId="4" xfId="0" applyFont="1" applyFill="1" applyBorder="1" applyAlignment="1" applyProtection="1">
      <alignment horizontal="left" vertical="center"/>
    </xf>
    <xf numFmtId="164" fontId="18" fillId="4" borderId="1" xfId="0" applyNumberFormat="1" applyFont="1" applyFill="1" applyBorder="1" applyAlignment="1" applyProtection="1">
      <alignment horizontal="center"/>
    </xf>
    <xf numFmtId="0" fontId="17" fillId="4" borderId="1" xfId="0" applyFont="1" applyFill="1" applyBorder="1" applyAlignment="1" applyProtection="1">
      <alignment horizontal="center"/>
    </xf>
    <xf numFmtId="0" fontId="17" fillId="4" borderId="1" xfId="0" applyFont="1" applyFill="1" applyBorder="1" applyAlignment="1" applyProtection="1">
      <alignment horizontal="left" vertical="center"/>
    </xf>
    <xf numFmtId="0" fontId="0" fillId="6" borderId="8" xfId="0" applyFont="1" applyFill="1" applyBorder="1" applyProtection="1"/>
    <xf numFmtId="0" fontId="0" fillId="0" borderId="0" xfId="0" applyFont="1" applyBorder="1" applyAlignment="1" applyProtection="1">
      <alignment horizontal="left"/>
    </xf>
    <xf numFmtId="0" fontId="0" fillId="0" borderId="10" xfId="0" applyFont="1" applyBorder="1" applyAlignment="1" applyProtection="1">
      <alignment horizontal="left"/>
    </xf>
    <xf numFmtId="0" fontId="0" fillId="0" borderId="12" xfId="0" applyFont="1" applyBorder="1" applyProtection="1"/>
    <xf numFmtId="0" fontId="0" fillId="4" borderId="0" xfId="0" applyFont="1" applyFill="1" applyBorder="1" applyProtection="1"/>
    <xf numFmtId="0" fontId="0" fillId="0" borderId="12" xfId="0" applyFont="1" applyBorder="1" applyAlignment="1" applyProtection="1">
      <alignment horizontal="left"/>
    </xf>
    <xf numFmtId="0" fontId="0" fillId="0" borderId="8" xfId="0" applyFont="1" applyBorder="1" applyAlignment="1" applyProtection="1">
      <alignment horizontal="left"/>
    </xf>
    <xf numFmtId="0" fontId="0" fillId="0" borderId="9" xfId="0" applyFont="1" applyBorder="1" applyAlignment="1" applyProtection="1">
      <alignment horizontal="left"/>
    </xf>
    <xf numFmtId="0" fontId="0" fillId="0" borderId="0" xfId="0" applyFont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left" vertical="center"/>
    </xf>
    <xf numFmtId="0" fontId="0" fillId="4" borderId="0" xfId="0" applyFont="1" applyFill="1" applyBorder="1" applyAlignment="1" applyProtection="1">
      <alignment horizontal="left"/>
    </xf>
    <xf numFmtId="0" fontId="21" fillId="6" borderId="1" xfId="0" applyFont="1" applyFill="1" applyBorder="1" applyAlignment="1" applyProtection="1">
      <alignment horizontal="center"/>
    </xf>
    <xf numFmtId="0" fontId="21" fillId="6" borderId="18" xfId="0" applyFont="1" applyFill="1" applyBorder="1" applyAlignment="1" applyProtection="1">
      <alignment horizontal="center"/>
    </xf>
    <xf numFmtId="0" fontId="20" fillId="6" borderId="5" xfId="0" applyFont="1" applyFill="1" applyBorder="1" applyAlignment="1" applyProtection="1">
      <alignment horizontal="center"/>
    </xf>
    <xf numFmtId="0" fontId="7" fillId="0" borderId="7" xfId="0" applyFont="1" applyBorder="1" applyProtection="1"/>
    <xf numFmtId="49" fontId="23" fillId="0" borderId="7" xfId="0" applyNumberFormat="1" applyFont="1" applyFill="1" applyBorder="1" applyAlignment="1" applyProtection="1">
      <alignment horizontal="left" vertical="center"/>
    </xf>
    <xf numFmtId="49" fontId="23" fillId="4" borderId="7" xfId="0" applyNumberFormat="1" applyFont="1" applyFill="1" applyBorder="1" applyAlignment="1" applyProtection="1">
      <alignment horizontal="left" vertical="center"/>
    </xf>
    <xf numFmtId="49" fontId="23" fillId="0" borderId="7" xfId="0" applyNumberFormat="1" applyFont="1" applyBorder="1" applyAlignment="1" applyProtection="1">
      <alignment horizontal="left" vertical="center"/>
    </xf>
    <xf numFmtId="0" fontId="0" fillId="0" borderId="2" xfId="0" applyBorder="1" applyAlignment="1">
      <alignment horizontal="right"/>
    </xf>
    <xf numFmtId="0" fontId="4" fillId="0" borderId="2" xfId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Border="1" applyAlignment="1" applyProtection="1">
      <alignment horizontal="right"/>
    </xf>
    <xf numFmtId="0" fontId="5" fillId="4" borderId="0" xfId="0" applyNumberFormat="1" applyFont="1" applyFill="1" applyBorder="1" applyAlignment="1" applyProtection="1">
      <alignment vertical="center"/>
    </xf>
    <xf numFmtId="0" fontId="5" fillId="4" borderId="0" xfId="0" applyNumberFormat="1" applyFont="1" applyFill="1" applyBorder="1" applyProtection="1"/>
    <xf numFmtId="0" fontId="7" fillId="4" borderId="0" xfId="0" applyNumberFormat="1" applyFont="1" applyFill="1" applyBorder="1" applyProtection="1"/>
    <xf numFmtId="0" fontId="5" fillId="4" borderId="0" xfId="0" applyNumberFormat="1" applyFont="1" applyFill="1" applyBorder="1" applyAlignment="1" applyProtection="1">
      <alignment horizontal="left"/>
    </xf>
    <xf numFmtId="0" fontId="5" fillId="0" borderId="8" xfId="0" applyNumberFormat="1" applyFont="1" applyFill="1" applyBorder="1" applyAlignment="1" applyProtection="1">
      <alignment horizontal="right"/>
    </xf>
    <xf numFmtId="0" fontId="8" fillId="0" borderId="8" xfId="0" applyFont="1" applyFill="1" applyBorder="1" applyProtection="1"/>
    <xf numFmtId="0" fontId="8" fillId="0" borderId="9" xfId="0" applyFont="1" applyFill="1" applyBorder="1" applyProtection="1"/>
    <xf numFmtId="0" fontId="13" fillId="0" borderId="0" xfId="0" applyFont="1" applyBorder="1" applyAlignment="1" applyProtection="1">
      <alignment horizontal="right" vertical="center"/>
    </xf>
    <xf numFmtId="0" fontId="24" fillId="4" borderId="7" xfId="0" applyFont="1" applyFill="1" applyBorder="1" applyAlignment="1" applyProtection="1">
      <alignment horizontal="left" vertical="center"/>
    </xf>
    <xf numFmtId="0" fontId="5" fillId="0" borderId="7" xfId="0" applyNumberFormat="1" applyFont="1" applyFill="1" applyBorder="1" applyAlignment="1" applyProtection="1">
      <alignment horizontal="left"/>
    </xf>
    <xf numFmtId="0" fontId="20" fillId="6" borderId="1" xfId="0" applyNumberFormat="1" applyFont="1" applyFill="1" applyBorder="1" applyAlignment="1" applyProtection="1">
      <alignment horizontal="left" vertical="center"/>
    </xf>
    <xf numFmtId="0" fontId="26" fillId="5" borderId="7" xfId="0" applyFont="1" applyFill="1" applyBorder="1" applyAlignment="1" applyProtection="1">
      <alignment horizontal="left" vertical="center"/>
    </xf>
    <xf numFmtId="0" fontId="27" fillId="5" borderId="0" xfId="0" applyFont="1" applyFill="1" applyBorder="1" applyAlignment="1" applyProtection="1">
      <alignment vertical="center"/>
    </xf>
    <xf numFmtId="0" fontId="25" fillId="5" borderId="4" xfId="0" applyFont="1" applyFill="1" applyBorder="1" applyAlignment="1" applyProtection="1">
      <alignment horizontal="center" vertical="center"/>
    </xf>
    <xf numFmtId="0" fontId="26" fillId="5" borderId="1" xfId="0" applyFont="1" applyFill="1" applyBorder="1" applyAlignment="1" applyProtection="1">
      <alignment vertical="center"/>
    </xf>
    <xf numFmtId="0" fontId="25" fillId="5" borderId="0" xfId="0" applyFont="1" applyFill="1" applyBorder="1" applyAlignment="1" applyProtection="1">
      <alignment vertical="center"/>
    </xf>
    <xf numFmtId="0" fontId="25" fillId="5" borderId="0" xfId="0" applyFont="1" applyFill="1" applyBorder="1" applyAlignment="1" applyProtection="1">
      <alignment horizontal="center" vertical="center"/>
    </xf>
    <xf numFmtId="0" fontId="27" fillId="5" borderId="9" xfId="0" applyFont="1" applyFill="1" applyBorder="1" applyAlignment="1" applyProtection="1">
      <alignment vertical="center"/>
    </xf>
    <xf numFmtId="0" fontId="28" fillId="5" borderId="7" xfId="0" applyFont="1" applyFill="1" applyBorder="1" applyAlignment="1" applyProtection="1">
      <alignment horizontal="left" vertical="center"/>
    </xf>
    <xf numFmtId="164" fontId="26" fillId="5" borderId="7" xfId="0" applyNumberFormat="1" applyFont="1" applyFill="1" applyBorder="1" applyAlignment="1" applyProtection="1">
      <alignment horizontal="center" vertical="center"/>
    </xf>
    <xf numFmtId="0" fontId="29" fillId="5" borderId="0" xfId="0" applyFont="1" applyFill="1" applyBorder="1" applyAlignment="1" applyProtection="1">
      <alignment horizontal="center" vertical="center"/>
    </xf>
    <xf numFmtId="2" fontId="26" fillId="5" borderId="0" xfId="0" applyNumberFormat="1" applyFont="1" applyFill="1" applyBorder="1" applyAlignment="1" applyProtection="1">
      <alignment horizontal="center" vertical="center"/>
    </xf>
    <xf numFmtId="2" fontId="29" fillId="5" borderId="8" xfId="0" applyNumberFormat="1" applyFont="1" applyFill="1" applyBorder="1" applyAlignment="1" applyProtection="1">
      <alignment horizontal="center" vertical="center"/>
    </xf>
    <xf numFmtId="164" fontId="26" fillId="5" borderId="9" xfId="0" applyNumberFormat="1" applyFont="1" applyFill="1" applyBorder="1" applyAlignment="1" applyProtection="1">
      <alignment horizontal="center" vertical="center"/>
    </xf>
    <xf numFmtId="2" fontId="29" fillId="5" borderId="10" xfId="0" applyNumberFormat="1" applyFont="1" applyFill="1" applyBorder="1" applyAlignment="1" applyProtection="1">
      <alignment horizontal="left" vertical="center"/>
    </xf>
    <xf numFmtId="0" fontId="25" fillId="5" borderId="11" xfId="0" applyFont="1" applyFill="1" applyBorder="1" applyAlignment="1" applyProtection="1">
      <alignment vertical="center"/>
    </xf>
    <xf numFmtId="0" fontId="27" fillId="5" borderId="2" xfId="0" applyFont="1" applyFill="1" applyBorder="1" applyAlignment="1" applyProtection="1">
      <alignment vertical="center"/>
    </xf>
    <xf numFmtId="164" fontId="30" fillId="5" borderId="11" xfId="0" applyNumberFormat="1" applyFont="1" applyFill="1" applyBorder="1" applyAlignment="1" applyProtection="1">
      <alignment horizontal="center"/>
    </xf>
    <xf numFmtId="0" fontId="27" fillId="5" borderId="2" xfId="0" applyFont="1" applyFill="1" applyBorder="1" applyAlignment="1" applyProtection="1">
      <alignment horizontal="center" vertical="center"/>
    </xf>
    <xf numFmtId="0" fontId="25" fillId="5" borderId="2" xfId="0" applyNumberFormat="1" applyFont="1" applyFill="1" applyBorder="1" applyAlignment="1" applyProtection="1">
      <alignment horizontal="center"/>
    </xf>
    <xf numFmtId="0" fontId="25" fillId="5" borderId="2" xfId="0" applyFont="1" applyFill="1" applyBorder="1" applyAlignment="1" applyProtection="1">
      <alignment horizontal="left" vertical="center"/>
    </xf>
    <xf numFmtId="164" fontId="26" fillId="5" borderId="12" xfId="0" applyNumberFormat="1" applyFont="1" applyFill="1" applyBorder="1" applyAlignment="1" applyProtection="1">
      <alignment horizontal="center"/>
    </xf>
    <xf numFmtId="0" fontId="25" fillId="5" borderId="12" xfId="0" applyFont="1" applyFill="1" applyBorder="1" applyAlignment="1" applyProtection="1">
      <alignment horizontal="left" vertical="center"/>
    </xf>
    <xf numFmtId="1" fontId="25" fillId="0" borderId="8" xfId="0" applyNumberFormat="1" applyFont="1" applyFill="1" applyBorder="1" applyAlignment="1" applyProtection="1">
      <alignment horizontal="center"/>
    </xf>
    <xf numFmtId="0" fontId="27" fillId="0" borderId="7" xfId="0" applyFont="1" applyBorder="1" applyAlignment="1" applyProtection="1">
      <alignment horizontal="center"/>
    </xf>
    <xf numFmtId="1" fontId="25" fillId="0" borderId="0" xfId="0" applyNumberFormat="1" applyFont="1" applyFill="1" applyBorder="1" applyAlignment="1" applyProtection="1">
      <alignment horizontal="center"/>
    </xf>
    <xf numFmtId="0" fontId="25" fillId="0" borderId="0" xfId="0" applyFont="1" applyFill="1" applyBorder="1" applyAlignment="1" applyProtection="1">
      <alignment horizontal="center"/>
    </xf>
    <xf numFmtId="0" fontId="25" fillId="0" borderId="0" xfId="0" applyFont="1" applyBorder="1" applyAlignment="1" applyProtection="1">
      <alignment horizontal="center"/>
    </xf>
    <xf numFmtId="0" fontId="27" fillId="0" borderId="5" xfId="0" applyFont="1" applyBorder="1" applyAlignment="1" applyProtection="1">
      <alignment horizontal="center"/>
    </xf>
    <xf numFmtId="0" fontId="25" fillId="0" borderId="8" xfId="0" applyFont="1" applyBorder="1" applyAlignment="1" applyProtection="1">
      <alignment horizontal="right"/>
    </xf>
    <xf numFmtId="0" fontId="25" fillId="0" borderId="8" xfId="0" applyFont="1" applyBorder="1" applyAlignment="1" applyProtection="1">
      <alignment horizontal="center"/>
    </xf>
    <xf numFmtId="0" fontId="25" fillId="0" borderId="9" xfId="0" applyFont="1" applyBorder="1" applyProtection="1"/>
    <xf numFmtId="0" fontId="27" fillId="0" borderId="0" xfId="0" applyFont="1" applyFill="1" applyBorder="1" applyProtection="1"/>
    <xf numFmtId="0" fontId="27" fillId="4" borderId="5" xfId="0" applyFont="1" applyFill="1" applyBorder="1" applyProtection="1"/>
    <xf numFmtId="0" fontId="25" fillId="4" borderId="14" xfId="0" applyFont="1" applyFill="1" applyBorder="1" applyAlignment="1" applyProtection="1">
      <alignment horizontal="left"/>
    </xf>
    <xf numFmtId="0" fontId="25" fillId="4" borderId="14" xfId="0" applyFont="1" applyFill="1" applyBorder="1" applyAlignment="1" applyProtection="1">
      <alignment horizontal="center"/>
    </xf>
    <xf numFmtId="0" fontId="25" fillId="0" borderId="7" xfId="0" applyFont="1" applyFill="1" applyBorder="1" applyProtection="1"/>
    <xf numFmtId="0" fontId="25" fillId="0" borderId="0" xfId="0" applyFont="1" applyBorder="1" applyAlignment="1" applyProtection="1">
      <alignment horizontal="right"/>
    </xf>
    <xf numFmtId="164" fontId="25" fillId="0" borderId="0" xfId="0" applyNumberFormat="1" applyFont="1" applyBorder="1" applyAlignment="1" applyProtection="1">
      <alignment horizontal="center"/>
    </xf>
    <xf numFmtId="0" fontId="25" fillId="0" borderId="10" xfId="0" applyFont="1" applyFill="1" applyBorder="1" applyProtection="1"/>
    <xf numFmtId="0" fontId="31" fillId="0" borderId="0" xfId="0" applyFont="1" applyBorder="1" applyAlignment="1" applyProtection="1">
      <alignment horizontal="center"/>
    </xf>
    <xf numFmtId="0" fontId="25" fillId="4" borderId="4" xfId="0" applyFont="1" applyFill="1" applyBorder="1" applyAlignment="1" applyProtection="1">
      <alignment horizontal="center"/>
    </xf>
    <xf numFmtId="164" fontId="25" fillId="0" borderId="6" xfId="0" applyNumberFormat="1" applyFont="1" applyFill="1" applyBorder="1" applyAlignment="1" applyProtection="1">
      <alignment horizontal="center"/>
    </xf>
    <xf numFmtId="0" fontId="27" fillId="0" borderId="7" xfId="0" applyFont="1" applyBorder="1" applyProtection="1"/>
    <xf numFmtId="1" fontId="25" fillId="0" borderId="0" xfId="0" applyNumberFormat="1" applyFont="1" applyBorder="1" applyAlignment="1" applyProtection="1">
      <alignment horizontal="center"/>
    </xf>
    <xf numFmtId="0" fontId="25" fillId="0" borderId="10" xfId="0" applyFont="1" applyBorder="1" applyProtection="1"/>
    <xf numFmtId="0" fontId="27" fillId="0" borderId="0" xfId="0" applyFont="1" applyBorder="1" applyProtection="1"/>
    <xf numFmtId="2" fontId="25" fillId="0" borderId="16" xfId="0" applyNumberFormat="1" applyFont="1" applyFill="1" applyBorder="1" applyAlignment="1" applyProtection="1">
      <alignment horizontal="center"/>
    </xf>
    <xf numFmtId="0" fontId="27" fillId="0" borderId="7" xfId="0" applyFont="1" applyBorder="1" applyAlignment="1" applyProtection="1"/>
    <xf numFmtId="0" fontId="25" fillId="0" borderId="10" xfId="0" applyFont="1" applyBorder="1" applyAlignment="1" applyProtection="1"/>
    <xf numFmtId="0" fontId="27" fillId="0" borderId="0" xfId="0" applyFont="1" applyBorder="1" applyAlignment="1" applyProtection="1"/>
    <xf numFmtId="0" fontId="25" fillId="4" borderId="11" xfId="0" applyFont="1" applyFill="1" applyBorder="1" applyAlignment="1" applyProtection="1">
      <alignment horizontal="center" vertical="center" wrapText="1"/>
    </xf>
    <xf numFmtId="0" fontId="25" fillId="0" borderId="16" xfId="0" applyFont="1" applyFill="1" applyBorder="1" applyAlignment="1" applyProtection="1">
      <alignment horizontal="center" vertical="center"/>
    </xf>
    <xf numFmtId="0" fontId="27" fillId="0" borderId="11" xfId="0" applyFont="1" applyFill="1" applyBorder="1" applyProtection="1">
      <protection hidden="1"/>
    </xf>
    <xf numFmtId="0" fontId="32" fillId="0" borderId="2" xfId="0" applyFont="1" applyFill="1" applyBorder="1" applyAlignment="1" applyProtection="1">
      <alignment horizontal="center"/>
      <protection hidden="1"/>
    </xf>
    <xf numFmtId="164" fontId="32" fillId="0" borderId="2" xfId="0" applyNumberFormat="1" applyFont="1" applyFill="1" applyBorder="1" applyAlignment="1" applyProtection="1">
      <alignment horizontal="center"/>
      <protection hidden="1"/>
    </xf>
    <xf numFmtId="0" fontId="33" fillId="0" borderId="12" xfId="0" applyFont="1" applyFill="1" applyBorder="1" applyProtection="1">
      <protection hidden="1"/>
    </xf>
    <xf numFmtId="0" fontId="33" fillId="4" borderId="0" xfId="0" applyFont="1" applyFill="1" applyBorder="1" applyProtection="1">
      <protection hidden="1"/>
    </xf>
    <xf numFmtId="0" fontId="25" fillId="4" borderId="4" xfId="0" applyFont="1" applyFill="1" applyBorder="1" applyAlignment="1" applyProtection="1">
      <alignment horizontal="center"/>
      <protection hidden="1"/>
    </xf>
    <xf numFmtId="164" fontId="25" fillId="0" borderId="6" xfId="0" applyNumberFormat="1" applyFont="1" applyFill="1" applyBorder="1" applyAlignment="1" applyProtection="1">
      <alignment horizontal="center"/>
      <protection hidden="1"/>
    </xf>
    <xf numFmtId="0" fontId="27" fillId="0" borderId="7" xfId="0" applyFont="1" applyFill="1" applyBorder="1" applyProtection="1">
      <protection hidden="1"/>
    </xf>
    <xf numFmtId="164" fontId="25" fillId="0" borderId="0" xfId="0" applyNumberFormat="1" applyFont="1" applyFill="1" applyBorder="1" applyAlignment="1" applyProtection="1">
      <alignment horizontal="center"/>
      <protection hidden="1"/>
    </xf>
    <xf numFmtId="0" fontId="27" fillId="0" borderId="0" xfId="0" applyFont="1" applyFill="1" applyBorder="1" applyProtection="1">
      <protection hidden="1"/>
    </xf>
    <xf numFmtId="0" fontId="33" fillId="0" borderId="10" xfId="0" applyFont="1" applyBorder="1" applyProtection="1">
      <protection hidden="1"/>
    </xf>
    <xf numFmtId="0" fontId="31" fillId="7" borderId="1" xfId="0" applyFont="1" applyFill="1" applyBorder="1" applyAlignment="1">
      <alignment vertical="center"/>
    </xf>
    <xf numFmtId="0" fontId="25" fillId="0" borderId="8" xfId="0" applyNumberFormat="1" applyFont="1" applyFill="1" applyBorder="1" applyAlignment="1" applyProtection="1">
      <alignment horizontal="center" vertical="center"/>
    </xf>
    <xf numFmtId="0" fontId="31" fillId="4" borderId="1" xfId="0" applyFont="1" applyFill="1" applyBorder="1" applyAlignment="1" applyProtection="1">
      <alignment horizontal="right" vertical="center"/>
    </xf>
    <xf numFmtId="0" fontId="0" fillId="0" borderId="5" xfId="0" applyBorder="1" applyProtection="1"/>
    <xf numFmtId="0" fontId="0" fillId="0" borderId="8" xfId="0" applyBorder="1" applyProtection="1"/>
    <xf numFmtId="0" fontId="0" fillId="0" borderId="7" xfId="0" applyFill="1" applyBorder="1" applyProtection="1"/>
    <xf numFmtId="0" fontId="0" fillId="0" borderId="7" xfId="0" applyBorder="1" applyAlignment="1" applyProtection="1">
      <alignment vertical="center"/>
    </xf>
    <xf numFmtId="0" fontId="7" fillId="0" borderId="7" xfId="0" applyFont="1" applyBorder="1" applyAlignment="1" applyProtection="1">
      <alignment vertical="center"/>
    </xf>
    <xf numFmtId="0" fontId="7" fillId="0" borderId="7" xfId="0" applyFont="1" applyBorder="1" applyProtection="1">
      <protection hidden="1"/>
    </xf>
    <xf numFmtId="0" fontId="7" fillId="0" borderId="10" xfId="0" applyFont="1" applyBorder="1" applyAlignment="1" applyProtection="1">
      <alignment vertical="center"/>
    </xf>
    <xf numFmtId="0" fontId="0" fillId="0" borderId="0" xfId="0" applyFont="1" applyBorder="1"/>
    <xf numFmtId="0" fontId="0" fillId="0" borderId="7" xfId="0" applyBorder="1" applyAlignment="1" applyProtection="1">
      <alignment horizontal="left"/>
    </xf>
    <xf numFmtId="0" fontId="7" fillId="0" borderId="7" xfId="0" applyFont="1" applyBorder="1" applyAlignment="1" applyProtection="1">
      <alignment horizontal="left"/>
    </xf>
    <xf numFmtId="0" fontId="0" fillId="0" borderId="11" xfId="0" applyBorder="1" applyProtection="1"/>
    <xf numFmtId="0" fontId="25" fillId="4" borderId="6" xfId="0" applyFont="1" applyFill="1" applyBorder="1" applyAlignment="1" applyProtection="1">
      <alignment horizontal="center"/>
    </xf>
    <xf numFmtId="0" fontId="27" fillId="0" borderId="8" xfId="0" applyFont="1" applyBorder="1" applyProtection="1"/>
    <xf numFmtId="0" fontId="31" fillId="0" borderId="5" xfId="0" applyFont="1" applyFill="1" applyBorder="1" applyAlignment="1" applyProtection="1">
      <alignment horizontal="center" vertical="center"/>
      <protection hidden="1"/>
    </xf>
    <xf numFmtId="0" fontId="25" fillId="5" borderId="12" xfId="0" applyFont="1" applyFill="1" applyBorder="1" applyAlignment="1" applyProtection="1">
      <alignment horizontal="center" vertical="center"/>
    </xf>
    <xf numFmtId="0" fontId="7" fillId="0" borderId="1" xfId="0" applyFont="1" applyBorder="1" applyProtection="1"/>
    <xf numFmtId="0" fontId="36" fillId="0" borderId="0" xfId="0" applyNumberFormat="1" applyFont="1" applyFill="1" applyBorder="1" applyAlignment="1" applyProtection="1">
      <alignment horizontal="center" vertical="center" wrapText="1"/>
    </xf>
    <xf numFmtId="0" fontId="37" fillId="4" borderId="0" xfId="0" applyNumberFormat="1" applyFont="1" applyFill="1" applyBorder="1" applyAlignment="1" applyProtection="1">
      <alignment vertical="center"/>
    </xf>
    <xf numFmtId="0" fontId="0" fillId="0" borderId="7" xfId="0" applyFont="1" applyBorder="1" applyAlignment="1" applyProtection="1">
      <alignment horizontal="right"/>
    </xf>
    <xf numFmtId="0" fontId="38" fillId="0" borderId="8" xfId="0" applyFont="1" applyFill="1" applyBorder="1" applyAlignment="1" applyProtection="1">
      <alignment horizontal="left" vertical="top"/>
    </xf>
    <xf numFmtId="0" fontId="41" fillId="6" borderId="8" xfId="0" applyFont="1" applyFill="1" applyBorder="1" applyAlignment="1" applyProtection="1">
      <alignment horizontal="center"/>
    </xf>
    <xf numFmtId="0" fontId="25" fillId="0" borderId="7" xfId="0" applyFont="1" applyBorder="1" applyProtection="1"/>
    <xf numFmtId="0" fontId="25" fillId="0" borderId="0" xfId="0" applyFont="1" applyBorder="1" applyProtection="1"/>
    <xf numFmtId="0" fontId="22" fillId="0" borderId="0" xfId="0" applyFont="1" applyBorder="1" applyProtection="1"/>
    <xf numFmtId="0" fontId="27" fillId="0" borderId="4" xfId="0" applyFont="1" applyBorder="1" applyAlignment="1" applyProtection="1">
      <alignment horizontal="center" vertical="center" wrapText="1"/>
    </xf>
    <xf numFmtId="0" fontId="22" fillId="2" borderId="1" xfId="0" applyFont="1" applyFill="1" applyBorder="1" applyAlignment="1" applyProtection="1">
      <alignment vertical="center"/>
    </xf>
    <xf numFmtId="0" fontId="25" fillId="0" borderId="8" xfId="0" applyFont="1" applyFill="1" applyBorder="1" applyProtection="1"/>
    <xf numFmtId="0" fontId="17" fillId="4" borderId="8" xfId="0" applyFont="1" applyFill="1" applyBorder="1" applyAlignment="1" applyProtection="1">
      <alignment horizontal="left" vertical="center"/>
    </xf>
    <xf numFmtId="0" fontId="42" fillId="0" borderId="0" xfId="0" applyFont="1" applyBorder="1" applyProtection="1"/>
    <xf numFmtId="0" fontId="0" fillId="0" borderId="6" xfId="0" applyFont="1" applyBorder="1" applyAlignment="1" applyProtection="1">
      <alignment horizontal="left"/>
    </xf>
    <xf numFmtId="0" fontId="14" fillId="4" borderId="0" xfId="0" applyFont="1" applyFill="1" applyBorder="1" applyAlignment="1" applyProtection="1">
      <alignment horizontal="left"/>
    </xf>
    <xf numFmtId="0" fontId="34" fillId="4" borderId="0" xfId="0" applyFont="1" applyFill="1" applyBorder="1" applyAlignment="1" applyProtection="1">
      <alignment horizontal="center" vertical="center"/>
    </xf>
    <xf numFmtId="0" fontId="19" fillId="4" borderId="0" xfId="1" applyFont="1" applyFill="1" applyBorder="1" applyAlignment="1" applyProtection="1"/>
    <xf numFmtId="0" fontId="14" fillId="4" borderId="0" xfId="0" applyFont="1" applyFill="1" applyBorder="1" applyProtection="1"/>
    <xf numFmtId="0" fontId="35" fillId="4" borderId="0" xfId="1" applyFont="1" applyFill="1" applyBorder="1" applyAlignment="1" applyProtection="1">
      <alignment horizontal="center" vertical="center"/>
    </xf>
    <xf numFmtId="0" fontId="29" fillId="0" borderId="0" xfId="0" applyFont="1" applyBorder="1" applyProtection="1"/>
    <xf numFmtId="0" fontId="42" fillId="0" borderId="0" xfId="0" applyFont="1" applyProtection="1"/>
    <xf numFmtId="0" fontId="22" fillId="0" borderId="8" xfId="0" applyFont="1" applyBorder="1" applyAlignment="1" applyProtection="1">
      <alignment horizontal="center"/>
    </xf>
    <xf numFmtId="0" fontId="22" fillId="0" borderId="0" xfId="0" applyFont="1" applyBorder="1" applyAlignment="1" applyProtection="1">
      <alignment horizontal="center"/>
    </xf>
    <xf numFmtId="0" fontId="22" fillId="0" borderId="0" xfId="0" applyFont="1" applyFill="1" applyBorder="1" applyAlignment="1" applyProtection="1">
      <alignment horizontal="center"/>
    </xf>
    <xf numFmtId="0" fontId="22" fillId="0" borderId="0" xfId="0" applyFont="1" applyAlignment="1" applyProtection="1">
      <alignment horizontal="center"/>
    </xf>
    <xf numFmtId="6" fontId="22" fillId="0" borderId="6" xfId="0" applyNumberFormat="1" applyFont="1" applyBorder="1" applyAlignment="1" applyProtection="1">
      <alignment horizontal="center"/>
    </xf>
    <xf numFmtId="6" fontId="22" fillId="0" borderId="6" xfId="0" applyNumberFormat="1" applyFont="1" applyBorder="1" applyProtection="1"/>
    <xf numFmtId="0" fontId="22" fillId="0" borderId="6" xfId="0" applyFont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9" fillId="8" borderId="1" xfId="0" applyFont="1" applyFill="1" applyBorder="1" applyAlignment="1" applyProtection="1">
      <alignment vertical="center"/>
      <protection locked="0"/>
    </xf>
    <xf numFmtId="0" fontId="29" fillId="2" borderId="2" xfId="0" applyFont="1" applyFill="1" applyBorder="1" applyAlignment="1" applyProtection="1">
      <alignment vertical="center"/>
      <protection locked="0"/>
    </xf>
    <xf numFmtId="0" fontId="29" fillId="9" borderId="4" xfId="0" applyNumberFormat="1" applyFont="1" applyFill="1" applyBorder="1" applyAlignment="1" applyProtection="1">
      <alignment horizontal="center"/>
      <protection locked="0"/>
    </xf>
    <xf numFmtId="0" fontId="29" fillId="9" borderId="6" xfId="0" applyNumberFormat="1" applyFont="1" applyFill="1" applyBorder="1" applyAlignment="1" applyProtection="1">
      <alignment horizontal="center"/>
      <protection locked="0"/>
    </xf>
    <xf numFmtId="0" fontId="29" fillId="9" borderId="6" xfId="0" applyNumberFormat="1" applyFont="1" applyFill="1" applyBorder="1" applyAlignment="1" applyProtection="1">
      <alignment horizontal="center" vertical="center"/>
      <protection locked="0"/>
    </xf>
    <xf numFmtId="0" fontId="29" fillId="2" borderId="0" xfId="0" applyFont="1" applyFill="1" applyBorder="1" applyAlignment="1" applyProtection="1">
      <alignment vertical="center"/>
      <protection locked="0"/>
    </xf>
    <xf numFmtId="0" fontId="0" fillId="2" borderId="0" xfId="0" applyFont="1" applyFill="1" applyBorder="1" applyAlignment="1" applyProtection="1">
      <alignment vertical="center"/>
    </xf>
    <xf numFmtId="0" fontId="0" fillId="2" borderId="10" xfId="0" applyFont="1" applyFill="1" applyBorder="1" applyAlignment="1" applyProtection="1">
      <alignment vertical="center"/>
    </xf>
    <xf numFmtId="0" fontId="29" fillId="9" borderId="14" xfId="0" applyNumberFormat="1" applyFont="1" applyFill="1" applyBorder="1" applyAlignment="1" applyProtection="1">
      <alignment horizontal="center" vertical="center"/>
      <protection locked="0"/>
    </xf>
    <xf numFmtId="0" fontId="43" fillId="0" borderId="0" xfId="0" applyNumberFormat="1" applyFont="1" applyFill="1" applyBorder="1" applyAlignment="1" applyProtection="1">
      <alignment horizontal="center"/>
    </xf>
    <xf numFmtId="0" fontId="44" fillId="0" borderId="0" xfId="0" applyFont="1" applyBorder="1" applyProtection="1"/>
    <xf numFmtId="0" fontId="45" fillId="0" borderId="0" xfId="0" applyNumberFormat="1" applyFont="1" applyFill="1" applyBorder="1" applyAlignment="1" applyProtection="1">
      <alignment horizontal="left"/>
    </xf>
    <xf numFmtId="0" fontId="44" fillId="0" borderId="0" xfId="0" applyNumberFormat="1" applyFont="1" applyBorder="1" applyProtection="1"/>
    <xf numFmtId="0" fontId="25" fillId="0" borderId="8" xfId="0" applyFont="1" applyFill="1" applyBorder="1" applyAlignment="1" applyProtection="1">
      <alignment horizontal="center"/>
      <protection hidden="1"/>
    </xf>
    <xf numFmtId="0" fontId="32" fillId="4" borderId="8" xfId="0" applyFont="1" applyFill="1" applyBorder="1" applyAlignment="1" applyProtection="1">
      <alignment horizontal="center"/>
      <protection hidden="1"/>
    </xf>
    <xf numFmtId="2" fontId="32" fillId="0" borderId="9" xfId="0" applyNumberFormat="1" applyFont="1" applyFill="1" applyBorder="1" applyProtection="1">
      <protection hidden="1"/>
    </xf>
    <xf numFmtId="0" fontId="7" fillId="0" borderId="8" xfId="0" applyFont="1" applyBorder="1" applyProtection="1"/>
    <xf numFmtId="6" fontId="29" fillId="0" borderId="6" xfId="0" applyNumberFormat="1" applyFont="1" applyBorder="1" applyAlignment="1" applyProtection="1">
      <alignment horizontal="right"/>
    </xf>
    <xf numFmtId="6" fontId="46" fillId="0" borderId="6" xfId="0" applyNumberFormat="1" applyFont="1" applyBorder="1" applyAlignment="1" applyProtection="1">
      <alignment horizontal="right"/>
    </xf>
    <xf numFmtId="0" fontId="0" fillId="0" borderId="2" xfId="0" applyBorder="1" applyAlignment="1">
      <alignment horizontal="left"/>
    </xf>
    <xf numFmtId="0" fontId="7" fillId="0" borderId="5" xfId="0" applyFont="1" applyBorder="1" applyAlignment="1" applyProtection="1">
      <alignment horizontal="left"/>
    </xf>
    <xf numFmtId="0" fontId="7" fillId="0" borderId="7" xfId="0" applyFont="1" applyBorder="1" applyAlignment="1" applyProtection="1">
      <alignment horizontal="center"/>
    </xf>
    <xf numFmtId="0" fontId="1" fillId="4" borderId="0" xfId="0" applyNumberFormat="1" applyFont="1" applyFill="1" applyBorder="1" applyAlignment="1" applyProtection="1">
      <alignment vertical="center"/>
    </xf>
    <xf numFmtId="0" fontId="1" fillId="4" borderId="0" xfId="0" applyNumberFormat="1" applyFont="1" applyFill="1" applyBorder="1" applyAlignment="1" applyProtection="1">
      <alignment horizontal="left" vertical="center"/>
    </xf>
    <xf numFmtId="0" fontId="1" fillId="4" borderId="5" xfId="0" applyNumberFormat="1" applyFont="1" applyFill="1" applyBorder="1" applyAlignment="1" applyProtection="1">
      <alignment horizontal="left" vertical="center"/>
    </xf>
    <xf numFmtId="0" fontId="39" fillId="6" borderId="1" xfId="0" applyNumberFormat="1" applyFont="1" applyFill="1" applyBorder="1" applyAlignment="1" applyProtection="1">
      <alignment vertical="center"/>
    </xf>
    <xf numFmtId="8" fontId="27" fillId="0" borderId="6" xfId="0" applyNumberFormat="1" applyFont="1" applyBorder="1" applyAlignment="1" applyProtection="1">
      <alignment horizontal="center" vertical="center"/>
    </xf>
    <xf numFmtId="0" fontId="27" fillId="0" borderId="6" xfId="0" applyFont="1" applyFill="1" applyBorder="1" applyAlignment="1" applyProtection="1">
      <alignment horizontal="center" vertical="center"/>
    </xf>
    <xf numFmtId="0" fontId="27" fillId="0" borderId="20" xfId="0" applyFont="1" applyFill="1" applyBorder="1" applyAlignment="1" applyProtection="1">
      <alignment horizontal="center" vertical="center"/>
    </xf>
    <xf numFmtId="0" fontId="0" fillId="6" borderId="0" xfId="0" applyFont="1" applyFill="1" applyBorder="1" applyProtection="1"/>
    <xf numFmtId="0" fontId="40" fillId="6" borderId="13" xfId="0" applyFont="1" applyFill="1" applyBorder="1" applyAlignment="1" applyProtection="1">
      <alignment horizontal="center"/>
    </xf>
    <xf numFmtId="0" fontId="21" fillId="6" borderId="13" xfId="0" applyFont="1" applyFill="1" applyBorder="1" applyAlignment="1" applyProtection="1"/>
    <xf numFmtId="1" fontId="16" fillId="6" borderId="15" xfId="0" applyNumberFormat="1" applyFont="1" applyFill="1" applyBorder="1" applyProtection="1"/>
    <xf numFmtId="0" fontId="15" fillId="0" borderId="10" xfId="0" applyFont="1" applyBorder="1" applyAlignment="1" applyProtection="1">
      <alignment vertical="center"/>
    </xf>
    <xf numFmtId="0" fontId="22" fillId="9" borderId="6" xfId="0" applyFont="1" applyFill="1" applyBorder="1" applyAlignment="1" applyProtection="1">
      <alignment horizontal="center"/>
      <protection locked="0"/>
    </xf>
    <xf numFmtId="6" fontId="22" fillId="9" borderId="6" xfId="0" applyNumberFormat="1" applyFont="1" applyFill="1" applyBorder="1" applyAlignment="1" applyProtection="1">
      <alignment horizontal="center"/>
      <protection locked="0"/>
    </xf>
    <xf numFmtId="1" fontId="25" fillId="9" borderId="6" xfId="0" applyNumberFormat="1" applyFont="1" applyFill="1" applyBorder="1" applyAlignment="1" applyProtection="1">
      <alignment horizontal="center"/>
      <protection locked="0"/>
    </xf>
  </cellXfs>
  <cellStyles count="2">
    <cellStyle name="Hyperlink" xfId="1" builtinId="8"/>
    <cellStyle name="Normal" xfId="0" builtinId="0"/>
  </cellStyles>
  <dxfs count="13"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fgColor indexed="64"/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CFFCC"/>
      </font>
      <fill>
        <patternFill patternType="solid">
          <fgColor indexed="64"/>
          <bgColor rgb="FFCCFFCC"/>
        </patternFill>
      </fill>
    </dxf>
    <dxf>
      <font>
        <color theme="0"/>
      </font>
      <fill>
        <patternFill patternType="none">
          <fgColor indexed="64"/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indexed="9"/>
      </font>
    </dxf>
  </dxfs>
  <tableStyles count="0" defaultTableStyle="TableStyleMedium2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0</xdr:row>
      <xdr:rowOff>142875</xdr:rowOff>
    </xdr:from>
    <xdr:to>
      <xdr:col>2</xdr:col>
      <xdr:colOff>3346449</xdr:colOff>
      <xdr:row>1</xdr:row>
      <xdr:rowOff>130175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4175124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219074</xdr:colOff>
      <xdr:row>0</xdr:row>
      <xdr:rowOff>523875</xdr:rowOff>
    </xdr:from>
    <xdr:to>
      <xdr:col>8</xdr:col>
      <xdr:colOff>1688097</xdr:colOff>
      <xdr:row>2</xdr:row>
      <xdr:rowOff>98423</xdr:rowOff>
    </xdr:to>
    <xdr:pic>
      <xdr:nvPicPr>
        <xdr:cNvPr id="4" name="Picture 3" descr="Environment Technology - Logo shaded.jp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153274" y="523875"/>
          <a:ext cx="4288423" cy="5937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environmenttechnology.co.n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Q82"/>
  <sheetViews>
    <sheetView showGridLines="0" tabSelected="1" topLeftCell="A7" zoomScaleNormal="100" workbookViewId="0">
      <selection activeCell="D16" sqref="D16"/>
    </sheetView>
  </sheetViews>
  <sheetFormatPr defaultColWidth="10.83203125" defaultRowHeight="12.75"/>
  <cols>
    <col min="1" max="1" width="3.6640625" style="3" customWidth="1"/>
    <col min="2" max="2" width="15" style="3" customWidth="1"/>
    <col min="3" max="3" width="89" style="3" customWidth="1"/>
    <col min="4" max="4" width="13.83203125" style="3" customWidth="1"/>
    <col min="5" max="5" width="6.1640625" style="3" customWidth="1"/>
    <col min="6" max="6" width="10.33203125" style="2" customWidth="1"/>
    <col min="7" max="7" width="19.6640625" style="3" customWidth="1"/>
    <col min="8" max="8" width="19.33203125" style="3" customWidth="1"/>
    <col min="9" max="9" width="40.83203125" style="3" customWidth="1"/>
    <col min="10" max="10" width="5.83203125" style="3" customWidth="1"/>
    <col min="11" max="11" width="14.6640625" style="3" bestFit="1" customWidth="1"/>
    <col min="12" max="12" width="10.83203125" style="3" customWidth="1"/>
    <col min="13" max="13" width="2.33203125" style="3" customWidth="1"/>
    <col min="14" max="14" width="10.33203125" style="3" customWidth="1"/>
    <col min="15" max="15" width="30.83203125" style="3" customWidth="1"/>
    <col min="16" max="16384" width="10.83203125" style="3"/>
  </cols>
  <sheetData>
    <row r="1" spans="1:17" ht="60.95" customHeight="1">
      <c r="A1" s="175"/>
      <c r="B1" s="103"/>
      <c r="C1" s="176"/>
      <c r="D1" s="194" t="s">
        <v>42</v>
      </c>
      <c r="E1" s="103"/>
      <c r="F1" s="103"/>
      <c r="G1" s="103"/>
      <c r="H1" s="103"/>
      <c r="I1" s="104"/>
      <c r="J1" s="2"/>
    </row>
    <row r="2" spans="1:17" s="12" customFormat="1" ht="19.5" customHeight="1">
      <c r="A2" s="177"/>
      <c r="B2" s="13"/>
      <c r="C2" s="14"/>
      <c r="D2" s="13"/>
      <c r="E2" s="13"/>
      <c r="F2" s="13"/>
      <c r="G2" s="13"/>
      <c r="H2" s="13"/>
      <c r="I2" s="30"/>
      <c r="J2" s="1"/>
    </row>
    <row r="3" spans="1:17" ht="24.95" customHeight="1">
      <c r="A3" s="31"/>
      <c r="B3" s="31"/>
      <c r="C3" s="105" t="s">
        <v>35</v>
      </c>
      <c r="D3" s="2"/>
      <c r="E3" s="2"/>
      <c r="G3" s="2"/>
      <c r="H3" s="2"/>
      <c r="I3" s="32"/>
      <c r="J3" s="2"/>
    </row>
    <row r="4" spans="1:17" s="23" customFormat="1" ht="29.1" customHeight="1">
      <c r="A4" s="178"/>
      <c r="B4" s="199"/>
      <c r="C4" s="220" t="s">
        <v>60</v>
      </c>
      <c r="D4" s="200"/>
      <c r="E4" s="39"/>
      <c r="F4" s="38"/>
      <c r="G4" s="38"/>
      <c r="H4" s="38"/>
      <c r="I4" s="40"/>
    </row>
    <row r="5" spans="1:17" s="23" customFormat="1" ht="29.1" customHeight="1">
      <c r="A5" s="178"/>
      <c r="B5" s="41"/>
      <c r="C5" s="221" t="s">
        <v>61</v>
      </c>
      <c r="D5" s="42"/>
      <c r="E5" s="42"/>
      <c r="F5" s="42"/>
      <c r="G5" s="42"/>
      <c r="H5" s="42"/>
      <c r="I5" s="43"/>
    </row>
    <row r="6" spans="1:17" s="23" customFormat="1" ht="29.1" customHeight="1">
      <c r="A6" s="178"/>
      <c r="B6" s="41"/>
      <c r="C6" s="225" t="s">
        <v>72</v>
      </c>
      <c r="D6" s="226"/>
      <c r="E6" s="226"/>
      <c r="F6" s="226"/>
      <c r="G6" s="226"/>
      <c r="H6" s="226"/>
      <c r="I6" s="227"/>
    </row>
    <row r="7" spans="1:17" s="23" customFormat="1" ht="26.1" customHeight="1">
      <c r="A7" s="178"/>
      <c r="B7" s="106" t="s">
        <v>62</v>
      </c>
      <c r="C7" s="29"/>
      <c r="D7" s="29"/>
      <c r="E7" s="29"/>
      <c r="F7" s="29"/>
      <c r="G7" s="29"/>
      <c r="H7" s="29"/>
      <c r="I7" s="33"/>
      <c r="J7" s="24"/>
    </row>
    <row r="8" spans="1:17" s="22" customFormat="1" ht="23.1" customHeight="1">
      <c r="A8" s="179"/>
      <c r="B8" s="44"/>
      <c r="C8" s="108"/>
      <c r="D8" s="45"/>
      <c r="E8" s="46"/>
      <c r="F8" s="45"/>
      <c r="G8" s="245" t="s">
        <v>18</v>
      </c>
      <c r="H8" s="45"/>
      <c r="I8" s="47"/>
      <c r="J8" s="26"/>
      <c r="M8"/>
      <c r="N8"/>
      <c r="O8" s="6"/>
      <c r="P8" s="6"/>
      <c r="Q8" s="6"/>
    </row>
    <row r="9" spans="1:17" s="6" customFormat="1" ht="24.95" customHeight="1">
      <c r="A9" s="90"/>
      <c r="B9" s="34"/>
      <c r="C9" s="102" t="s">
        <v>9</v>
      </c>
      <c r="D9" s="222"/>
      <c r="E9" s="244" t="str">
        <f>IF(D9= 0,"",IF(D9 ="y", "&gt;&gt;    Minimun single vent size is 80mm. "," &gt;&gt;   Check if the septic tank has an outlet filter "))</f>
        <v/>
      </c>
      <c r="F9" s="48"/>
      <c r="G9" s="48"/>
      <c r="H9" s="48"/>
      <c r="I9" s="49"/>
      <c r="J9" s="5"/>
      <c r="K9"/>
      <c r="L9"/>
      <c r="M9"/>
      <c r="N9"/>
    </row>
    <row r="10" spans="1:17" s="6" customFormat="1" ht="24.95" customHeight="1">
      <c r="A10" s="90"/>
      <c r="B10" s="35"/>
      <c r="C10" s="96" t="s">
        <v>8</v>
      </c>
      <c r="D10" s="223"/>
      <c r="F10" s="192" t="s">
        <v>70</v>
      </c>
      <c r="G10" s="50"/>
      <c r="H10" s="50"/>
      <c r="I10" s="51"/>
      <c r="J10" s="5"/>
      <c r="K10"/>
      <c r="L10"/>
      <c r="M10"/>
      <c r="N10"/>
    </row>
    <row r="11" spans="1:17" s="6" customFormat="1" ht="24.95" customHeight="1">
      <c r="A11" s="90"/>
      <c r="B11" s="35"/>
      <c r="C11" s="96" t="s">
        <v>17</v>
      </c>
      <c r="D11" s="223"/>
      <c r="F11" s="242" t="s">
        <v>71</v>
      </c>
      <c r="G11" s="50"/>
      <c r="H11" s="50"/>
      <c r="I11" s="51"/>
      <c r="J11" s="5"/>
      <c r="K11"/>
      <c r="L11"/>
      <c r="M11"/>
      <c r="N11"/>
    </row>
    <row r="12" spans="1:17" s="6" customFormat="1" ht="24.75" customHeight="1">
      <c r="A12" s="90"/>
      <c r="B12" s="35"/>
      <c r="C12" s="191" t="str">
        <f>IF(D12=1,"Is this a trench extension option? If not the minimum number of AES rows required is 2  "," Number of rows required to suit site constraints    "   )</f>
        <v xml:space="preserve"> Number of rows required to suit site constraints    </v>
      </c>
      <c r="D12" s="224"/>
      <c r="E12" s="98"/>
      <c r="F12" s="192" t="s">
        <v>40</v>
      </c>
      <c r="G12" s="52"/>
      <c r="H12" s="52"/>
      <c r="I12" s="53"/>
      <c r="J12" s="5"/>
      <c r="K12"/>
      <c r="L12"/>
      <c r="M12"/>
      <c r="N12"/>
    </row>
    <row r="13" spans="1:17" s="6" customFormat="1" ht="24.95" customHeight="1">
      <c r="A13" s="90"/>
      <c r="B13" s="35"/>
      <c r="C13" s="96" t="s">
        <v>38</v>
      </c>
      <c r="D13" s="223"/>
      <c r="E13" s="99" t="str">
        <f>IF(D13&lt;=3,"","&gt;&gt;  Category may require design considerations. Ref AS/NZS 1547")</f>
        <v/>
      </c>
      <c r="F13" s="192" t="s">
        <v>68</v>
      </c>
      <c r="G13" s="50"/>
      <c r="H13" s="50"/>
      <c r="I13" s="51"/>
      <c r="J13" s="5"/>
      <c r="K13"/>
      <c r="L13"/>
      <c r="M13"/>
      <c r="N13"/>
    </row>
    <row r="14" spans="1:17" s="6" customFormat="1" ht="24.95" customHeight="1">
      <c r="A14" s="90"/>
      <c r="B14" s="36"/>
      <c r="C14" s="96" t="s">
        <v>27</v>
      </c>
      <c r="D14" s="223"/>
      <c r="E14" s="99"/>
      <c r="F14" s="192" t="s">
        <v>69</v>
      </c>
      <c r="G14" s="50"/>
      <c r="H14" s="50"/>
      <c r="I14" s="51"/>
      <c r="J14" s="5"/>
      <c r="L14"/>
      <c r="M14"/>
      <c r="N14"/>
    </row>
    <row r="15" spans="1:17" s="6" customFormat="1" ht="24.95" customHeight="1">
      <c r="A15" s="90"/>
      <c r="B15" s="107" t="str">
        <f>IF(F27="y","          AES FOOTPRINT MUST BE LEVEL WITH TRENCH EXTENSION ","     Enter AES Bed Slope in % for standard AES systems to calculate extension" )</f>
        <v xml:space="preserve">     Enter AES Bed Slope in % for standard AES systems to calculate extension</v>
      </c>
      <c r="C15" s="7"/>
      <c r="D15" s="223"/>
      <c r="E15" s="101"/>
      <c r="F15" s="192" t="s">
        <v>41</v>
      </c>
      <c r="G15" s="50"/>
      <c r="H15" s="50"/>
      <c r="I15" s="51"/>
      <c r="J15" s="5"/>
      <c r="K15"/>
      <c r="L15"/>
      <c r="M15"/>
      <c r="N15"/>
    </row>
    <row r="16" spans="1:17" s="6" customFormat="1" ht="24.95" customHeight="1">
      <c r="A16" s="90"/>
      <c r="B16" s="37"/>
      <c r="C16" s="97" t="s">
        <v>4</v>
      </c>
      <c r="D16" s="228"/>
      <c r="E16" s="243" t="str">
        <f>IF(D16= 0,"",IF(D16 ="y", "&gt;&gt;    A HOUSE Vent &amp; a LOW vent are required on this system ","&gt;&gt;    A HIGH and LOW vent are required on this  "))</f>
        <v/>
      </c>
      <c r="F16" s="100"/>
      <c r="G16" s="50"/>
      <c r="H16" s="50"/>
      <c r="I16" s="51"/>
      <c r="J16" s="5"/>
      <c r="K16"/>
      <c r="L16"/>
      <c r="M16"/>
      <c r="N16"/>
    </row>
    <row r="17" spans="1:17" s="6" customFormat="1" ht="18" customHeight="1">
      <c r="A17" s="90"/>
      <c r="C17" s="7"/>
      <c r="D17" s="229"/>
      <c r="E17" s="230"/>
      <c r="F17" s="231" t="str">
        <f>IF(D16=0,"",IF(D16 ="y","","  The AES system may require a Velocity Diffuser"))</f>
        <v/>
      </c>
      <c r="G17" s="232"/>
      <c r="H17" s="232"/>
      <c r="I17" s="232"/>
      <c r="J17" s="5"/>
      <c r="K17"/>
      <c r="L17"/>
      <c r="M17"/>
      <c r="N17"/>
    </row>
    <row r="18" spans="1:17" s="6" customFormat="1" ht="0.95" customHeight="1">
      <c r="A18" s="90"/>
      <c r="B18" s="193"/>
      <c r="C18" s="57"/>
      <c r="D18" s="57">
        <f>IF(D14=0,,D21/D14)</f>
        <v>0</v>
      </c>
      <c r="E18" s="58"/>
      <c r="F18" s="59"/>
      <c r="G18" s="58"/>
      <c r="H18" s="58"/>
      <c r="I18" s="60"/>
      <c r="J18" s="5"/>
      <c r="K18"/>
      <c r="L18"/>
      <c r="M18"/>
      <c r="N18"/>
    </row>
    <row r="19" spans="1:17" s="22" customFormat="1" ht="8.1" customHeight="1">
      <c r="A19" s="179"/>
      <c r="B19" s="62"/>
      <c r="C19" s="63"/>
      <c r="D19" s="63"/>
      <c r="E19" s="63"/>
      <c r="F19" s="63"/>
      <c r="G19" s="63"/>
      <c r="H19" s="63"/>
      <c r="I19" s="64"/>
      <c r="J19" s="23"/>
      <c r="M19" s="23"/>
      <c r="N19" s="23"/>
      <c r="O19" s="23"/>
      <c r="P19" s="23"/>
      <c r="Q19" s="23"/>
    </row>
    <row r="20" spans="1:17" s="6" customFormat="1" ht="21.95" customHeight="1" thickBot="1">
      <c r="A20" s="90"/>
      <c r="B20" s="65"/>
      <c r="C20" s="87" t="s">
        <v>23</v>
      </c>
      <c r="D20" s="66"/>
      <c r="E20" s="67"/>
      <c r="F20" s="57"/>
      <c r="G20" s="68"/>
      <c r="H20" s="88" t="s">
        <v>2</v>
      </c>
      <c r="I20" s="69"/>
      <c r="J20" s="5"/>
      <c r="K20"/>
      <c r="L20"/>
      <c r="M20" s="21"/>
      <c r="N20" s="21"/>
      <c r="O20" s="22"/>
      <c r="P20" s="22"/>
      <c r="Q20" s="22"/>
    </row>
    <row r="21" spans="1:17" s="6" customFormat="1" ht="24.95" customHeight="1">
      <c r="A21" s="90"/>
      <c r="B21" s="136"/>
      <c r="C21" s="137" t="s">
        <v>25</v>
      </c>
      <c r="D21" s="138" t="str">
        <f>IF(D11="","",IF(D10="",0,D10*D11))</f>
        <v/>
      </c>
      <c r="E21" s="139" t="s">
        <v>28</v>
      </c>
      <c r="F21" s="140"/>
      <c r="G21" s="141"/>
      <c r="H21" s="142" t="s">
        <v>5</v>
      </c>
      <c r="I21" s="143" t="str">
        <f>IF(F27="y","Extension Area","System Extension")</f>
        <v>System Extension</v>
      </c>
      <c r="J21" s="5"/>
      <c r="K21"/>
      <c r="L21"/>
      <c r="M21" s="22"/>
      <c r="N21" s="22"/>
      <c r="O21" s="22"/>
      <c r="P21" s="22"/>
      <c r="Q21" s="22"/>
    </row>
    <row r="22" spans="1:17" s="6" customFormat="1" ht="24.95" customHeight="1">
      <c r="A22" s="90"/>
      <c r="B22" s="144"/>
      <c r="C22" s="145" t="s">
        <v>19</v>
      </c>
      <c r="D22" s="146" t="str">
        <f>IF(D12="","",(D21/30)/D12)</f>
        <v/>
      </c>
      <c r="E22" s="147" t="s">
        <v>29</v>
      </c>
      <c r="F22" s="148"/>
      <c r="G22" s="149" t="s">
        <v>26</v>
      </c>
      <c r="H22" s="150" t="str">
        <f>IF(D23="","",IF(D12=1,D23*3+0.6+0.3,D23*3+0.6))</f>
        <v/>
      </c>
      <c r="I22" s="150" t="str">
        <f>IF(D14="","",IF(F27="",H22,D25/H23))</f>
        <v/>
      </c>
      <c r="J22" s="5"/>
      <c r="L22"/>
      <c r="M22" s="22"/>
      <c r="N22" s="22"/>
      <c r="O22" s="22"/>
      <c r="P22" s="22"/>
      <c r="Q22" s="22"/>
    </row>
    <row r="23" spans="1:17" s="6" customFormat="1" ht="24.95" customHeight="1">
      <c r="A23" s="90"/>
      <c r="B23" s="151"/>
      <c r="C23" s="145" t="s">
        <v>0</v>
      </c>
      <c r="D23" s="152" t="str">
        <f>IF(D12="","",ROUNDUP(D22/3,0))</f>
        <v/>
      </c>
      <c r="E23" s="153" t="s">
        <v>30</v>
      </c>
      <c r="F23" s="154"/>
      <c r="G23" s="186" t="s">
        <v>3</v>
      </c>
      <c r="H23" s="155" t="str">
        <f>IF(D12="","",D12*0.45+0.45)</f>
        <v/>
      </c>
      <c r="I23" s="155" t="str">
        <f>IF(D14="","",IF(H22=0,,IF(F27="y",I27,IF(D15&lt;6,D25/H22,IF(D25/H22&lt;1,1,D25/H22)))))</f>
        <v/>
      </c>
      <c r="J23" s="5"/>
      <c r="L23"/>
    </row>
    <row r="24" spans="1:17" s="6" customFormat="1" ht="21.95" customHeight="1">
      <c r="A24" s="90"/>
      <c r="B24" s="156"/>
      <c r="C24" s="145" t="s">
        <v>20</v>
      </c>
      <c r="D24" s="152" t="str">
        <f>IF(D10="","",IF(D22="","",(((H22-0.6)/3)*212)*D12))</f>
        <v/>
      </c>
      <c r="E24" s="157" t="s">
        <v>14</v>
      </c>
      <c r="F24" s="158"/>
      <c r="G24" s="159" t="s">
        <v>21</v>
      </c>
      <c r="H24" s="160" t="str">
        <f>IF(H22="","",IF(H22&gt;0,0.75,))</f>
        <v/>
      </c>
      <c r="I24" s="160" t="str">
        <f>IF(D14="","",IF(I23&gt;0,0.15,))</f>
        <v/>
      </c>
      <c r="J24" s="5"/>
      <c r="K24"/>
      <c r="L24"/>
      <c r="M24"/>
      <c r="N24"/>
    </row>
    <row r="25" spans="1:17" s="6" customFormat="1" ht="21.95" customHeight="1">
      <c r="A25" s="180"/>
      <c r="B25" s="161"/>
      <c r="C25" s="162" t="s">
        <v>36</v>
      </c>
      <c r="D25" s="163" t="str">
        <f>IF(D10="","",IF(D12="","",IF(D15&lt;6,IF((D18-H22*H23)&lt;0,,(D18-H22*H23)),IF(((D18-H22*H23)/H22)&lt;1,H22*1,H22*((D18-H22*H23)/H22)))))</f>
        <v/>
      </c>
      <c r="E25" s="164" t="s">
        <v>12</v>
      </c>
      <c r="F25" s="165"/>
      <c r="G25" s="166" t="s">
        <v>7</v>
      </c>
      <c r="H25" s="167" t="str">
        <f>IF(H22="","",H22*H23)</f>
        <v/>
      </c>
      <c r="I25" s="167" t="str">
        <f>IF(D12="","",IF(I22="","",D25))</f>
        <v/>
      </c>
      <c r="K25"/>
      <c r="L25"/>
      <c r="M25"/>
      <c r="N25"/>
    </row>
    <row r="26" spans="1:17" s="6" customFormat="1" ht="21.95" customHeight="1">
      <c r="A26" s="180"/>
      <c r="B26" s="168"/>
      <c r="C26" s="233"/>
      <c r="D26" s="169"/>
      <c r="E26" s="170"/>
      <c r="F26" s="188" t="str">
        <f>IF(F27="y","   Please ensure your slope percentage figure is 0% &amp; the infiltration footprint is level for a trench extension design","")</f>
        <v/>
      </c>
      <c r="G26" s="234"/>
      <c r="H26" s="235"/>
      <c r="I26" s="171"/>
      <c r="L26"/>
      <c r="M26"/>
      <c r="N26"/>
    </row>
    <row r="27" spans="1:17" s="6" customFormat="1" ht="13.5" customHeight="1" thickBot="1">
      <c r="A27" s="90"/>
      <c r="B27" s="172"/>
      <c r="C27" s="236"/>
      <c r="D27" s="173"/>
      <c r="E27" s="187"/>
      <c r="F27" s="247"/>
      <c r="G27" s="190"/>
      <c r="H27" s="174"/>
      <c r="I27" s="248"/>
      <c r="J27" s="7"/>
      <c r="L27"/>
      <c r="M27"/>
      <c r="N27"/>
      <c r="O27" s="7"/>
    </row>
    <row r="28" spans="1:17" s="22" customFormat="1" ht="24" customHeight="1">
      <c r="A28" s="179"/>
      <c r="B28" s="109" t="s">
        <v>24</v>
      </c>
      <c r="C28" s="115"/>
      <c r="D28" s="111" t="s">
        <v>1</v>
      </c>
      <c r="E28" s="112"/>
      <c r="F28" s="189" t="s">
        <v>16</v>
      </c>
      <c r="G28" s="113"/>
      <c r="H28" s="114" t="s">
        <v>22</v>
      </c>
      <c r="I28" s="115"/>
      <c r="J28" s="20"/>
      <c r="K28" s="21"/>
      <c r="L28" s="21"/>
      <c r="M28"/>
      <c r="N28"/>
      <c r="O28" s="6"/>
      <c r="P28" s="6"/>
      <c r="Q28" s="6"/>
    </row>
    <row r="29" spans="1:17" s="22" customFormat="1" ht="30" customHeight="1">
      <c r="A29" s="179"/>
      <c r="B29" s="116" t="str">
        <f>IF(D30&lt;=H22," Your trench is shorter than the AES pipe required, and has been adjusted.",IF(F27="","                                                   for this Basic Serial design is ",""))</f>
        <v xml:space="preserve"> Your trench is shorter than the AES pipe required, and has been adjusted.</v>
      </c>
      <c r="C29" s="110"/>
      <c r="D29" s="117" t="str">
        <f>IF(D12&lt;=1,"",IF(F27="y","",H22))</f>
        <v/>
      </c>
      <c r="E29" s="118" t="str">
        <f>IF(D12&lt;=1,"",IF(F27="Y","","x"))</f>
        <v/>
      </c>
      <c r="F29" s="119" t="str">
        <f>IF(D12&lt;=1,"",IF(I23="","",IF(F27="y","",H23+I23)))</f>
        <v/>
      </c>
      <c r="G29" s="120" t="str">
        <f>IF(D12&lt;=1,"",IF(F27="y","","="))</f>
        <v/>
      </c>
      <c r="H29" s="121" t="str">
        <f>IF(D12&lt;=1,"",IF(F27="y","",D29*F29))</f>
        <v/>
      </c>
      <c r="I29" s="122" t="str">
        <f>IF(D12&lt;=1,"",IF(F27="y","","  m2 total"))</f>
        <v/>
      </c>
      <c r="J29" s="20"/>
      <c r="K29" s="21"/>
      <c r="L29" s="21"/>
      <c r="M29"/>
      <c r="N29" s="3"/>
      <c r="O29" s="3"/>
    </row>
    <row r="30" spans="1:17" s="22" customFormat="1" ht="24.95" customHeight="1">
      <c r="A30" s="179"/>
      <c r="B30" s="123" t="str">
        <f>IF(D30&lt;=H22,"               Try using 2 rows and remove Y from the trench option field",IF(F27="y","   The length &amp; width of excavation required for this design is  &gt;&gt; ",""))</f>
        <v xml:space="preserve">               Try using 2 rows and remove Y from the trench option field</v>
      </c>
      <c r="C30" s="124"/>
      <c r="D30" s="125" t="str">
        <f>IF(F27="","",IF(((I25+H25)/F30)&lt;((D33*3+0.9)/D12),((D33*3+0.9)/D12),((I25+H25)/F30)))</f>
        <v/>
      </c>
      <c r="E30" s="126" t="str">
        <f>IF(F27="Y","x","")</f>
        <v/>
      </c>
      <c r="F30" s="127" t="str">
        <f>IF(F27="","",IF(I27="",H23,IF(I27&lt;H23,"",I27)))</f>
        <v/>
      </c>
      <c r="G30" s="128" t="str">
        <f>IF(F27="y","     =","")</f>
        <v/>
      </c>
      <c r="H30" s="129" t="str">
        <f>IF(D12="","",IF(F27="","",F30*D30))</f>
        <v/>
      </c>
      <c r="I30" s="130" t="str">
        <f>IF(F27="y","  m2 total ","")</f>
        <v/>
      </c>
      <c r="J30" s="20"/>
      <c r="M30"/>
      <c r="N30" s="3"/>
      <c r="O30" s="3"/>
    </row>
    <row r="31" spans="1:17" s="22" customFormat="1" ht="24.95" customHeight="1" thickBot="1">
      <c r="A31" s="179"/>
      <c r="B31" s="72" t="str">
        <f>IF(F27="y",IF(D12=2,"                           A trench design has a max of 2 rows of AES pipes located 300mm from up slope side and centered lenght wise in the trench is better."," Single rows have 2 parts with a 200mm strait raised connector. The 1st part would contain the extra pipe if number of pipes are not even. IE 3+2 , 4+3, 5+4. etc " ),"")</f>
        <v/>
      </c>
      <c r="C31" s="71"/>
      <c r="D31" s="73"/>
      <c r="E31" s="74"/>
      <c r="F31" s="202"/>
      <c r="G31" s="75"/>
      <c r="H31" s="75"/>
      <c r="I31" s="181"/>
      <c r="J31" s="20"/>
      <c r="K31" s="21"/>
      <c r="M31"/>
      <c r="N31" s="3"/>
      <c r="O31" s="3"/>
    </row>
    <row r="32" spans="1:17" s="6" customFormat="1" ht="20.25">
      <c r="A32" s="90"/>
      <c r="B32" s="89"/>
      <c r="C32" s="195" t="s">
        <v>67</v>
      </c>
      <c r="D32" s="76"/>
      <c r="E32" s="76"/>
      <c r="F32" s="249"/>
      <c r="G32" s="250" t="s">
        <v>45</v>
      </c>
      <c r="H32" s="251" t="s">
        <v>46</v>
      </c>
      <c r="I32" s="252"/>
      <c r="K32"/>
      <c r="L32"/>
      <c r="M32" s="17"/>
      <c r="N32" s="27"/>
      <c r="O32" s="27"/>
    </row>
    <row r="33" spans="1:17" s="6" customFormat="1" ht="24.95" customHeight="1">
      <c r="A33" s="90"/>
      <c r="B33" s="240" t="s">
        <v>6</v>
      </c>
      <c r="C33" s="212" t="s">
        <v>11</v>
      </c>
      <c r="D33" s="131" t="str">
        <f>IF(D12="","",IF(D23="","",IF(D12=1,D23,(D12*D23))))</f>
        <v/>
      </c>
      <c r="E33" s="201" t="s">
        <v>30</v>
      </c>
      <c r="F33" s="57"/>
      <c r="G33" s="216">
        <v>320</v>
      </c>
      <c r="H33" s="217" t="e">
        <f>G33*D33</f>
        <v>#VALUE!</v>
      </c>
      <c r="I33" s="70"/>
      <c r="K33"/>
      <c r="L33"/>
      <c r="M33" s="27"/>
      <c r="N33" s="27"/>
      <c r="O33" s="27"/>
    </row>
    <row r="34" spans="1:17" s="6" customFormat="1" ht="24.95" customHeight="1">
      <c r="A34" s="90"/>
      <c r="B34" s="241" t="s">
        <v>31</v>
      </c>
      <c r="C34" s="213" t="s">
        <v>15</v>
      </c>
      <c r="D34" s="133" t="str">
        <f>IF(D12="","",IF(D12=1,D33-2,D23*D12-D12))</f>
        <v/>
      </c>
      <c r="E34" s="154"/>
      <c r="F34" s="57"/>
      <c r="G34" s="218">
        <v>19</v>
      </c>
      <c r="H34" s="217" t="e">
        <f t="shared" ref="H34:H43" si="0">G34*D34</f>
        <v>#VALUE!</v>
      </c>
      <c r="I34" s="253" t="str">
        <f>IF(D12="","",IF(F27="","",((I25+H25)/F30)+((D33*3+0.9)-((H25+I25)/F30))))</f>
        <v/>
      </c>
      <c r="K34"/>
      <c r="L34"/>
      <c r="M34" s="25"/>
      <c r="N34" s="25"/>
      <c r="O34" s="25"/>
      <c r="P34" s="25"/>
      <c r="Q34" s="25"/>
    </row>
    <row r="35" spans="1:17" s="6" customFormat="1" ht="24.95" customHeight="1">
      <c r="A35" s="90"/>
      <c r="B35" s="241" t="s">
        <v>32</v>
      </c>
      <c r="C35" s="213" t="s">
        <v>13</v>
      </c>
      <c r="D35" s="134" t="str">
        <f>IF(D12="","",IF(D12=1,4,D12*2))</f>
        <v/>
      </c>
      <c r="E35" s="154"/>
      <c r="F35" s="57"/>
      <c r="G35" s="218">
        <v>26</v>
      </c>
      <c r="H35" s="217" t="e">
        <f t="shared" si="0"/>
        <v>#VALUE!</v>
      </c>
      <c r="I35" s="78"/>
      <c r="K35"/>
      <c r="L35"/>
      <c r="M35" s="25"/>
      <c r="N35" s="25"/>
      <c r="O35" s="25"/>
      <c r="P35" s="25"/>
      <c r="Q35" s="25"/>
    </row>
    <row r="36" spans="1:17" s="6" customFormat="1" ht="24.95" customHeight="1">
      <c r="A36" s="90"/>
      <c r="B36" s="241" t="s">
        <v>33</v>
      </c>
      <c r="C36" s="214" t="s">
        <v>34</v>
      </c>
      <c r="D36" s="135" t="str">
        <f>IF(D16="","",IF(D16=0,,(IF(D16="n",2,1))))</f>
        <v/>
      </c>
      <c r="E36" s="154"/>
      <c r="F36" s="57"/>
      <c r="G36" s="218">
        <v>24</v>
      </c>
      <c r="H36" s="217" t="e">
        <f t="shared" si="0"/>
        <v>#VALUE!</v>
      </c>
      <c r="I36" s="78"/>
      <c r="K36"/>
      <c r="L36"/>
      <c r="M36" s="25"/>
      <c r="N36" s="25"/>
      <c r="O36" s="25"/>
      <c r="P36" s="25"/>
      <c r="Q36" s="25"/>
    </row>
    <row r="37" spans="1:17" s="6" customFormat="1" ht="24.95" customHeight="1">
      <c r="A37" s="90"/>
      <c r="B37" s="132"/>
      <c r="C37" s="213" t="s">
        <v>52</v>
      </c>
      <c r="D37" s="135" t="e">
        <f>(D33*0.212)+0.3</f>
        <v>#VALUE!</v>
      </c>
      <c r="E37" s="203" t="s">
        <v>47</v>
      </c>
      <c r="F37" s="182"/>
      <c r="G37" s="254">
        <v>145</v>
      </c>
      <c r="H37" s="217" t="e">
        <f t="shared" si="0"/>
        <v>#VALUE!</v>
      </c>
      <c r="I37" s="78"/>
      <c r="K37"/>
      <c r="L37"/>
      <c r="M37" s="25"/>
      <c r="N37" s="25"/>
      <c r="O37" s="25"/>
      <c r="P37" s="25"/>
      <c r="Q37" s="25"/>
    </row>
    <row r="38" spans="1:17" s="6" customFormat="1" ht="24.95" customHeight="1">
      <c r="A38" s="90"/>
      <c r="B38" s="196"/>
      <c r="C38" s="213" t="s">
        <v>51</v>
      </c>
      <c r="D38" s="152" t="str">
        <f>IF(D14="","",(IF(F27="",(((H25*0.75)+(D25*0.15))*1.2),(((H25*0.75)+(I25*0.15))*1.2))))</f>
        <v/>
      </c>
      <c r="E38" s="197" t="s">
        <v>10</v>
      </c>
      <c r="F38" s="80"/>
      <c r="G38" s="254">
        <v>50</v>
      </c>
      <c r="H38" s="217" t="e">
        <f t="shared" si="0"/>
        <v>#VALUE!</v>
      </c>
      <c r="I38" s="78"/>
      <c r="K38"/>
      <c r="L38"/>
    </row>
    <row r="39" spans="1:17" s="6" customFormat="1" ht="24.95" customHeight="1">
      <c r="A39" s="90"/>
      <c r="B39" s="197"/>
      <c r="C39" s="215" t="s">
        <v>59</v>
      </c>
      <c r="D39" s="152" t="str">
        <f>D38</f>
        <v/>
      </c>
      <c r="E39" s="197" t="s">
        <v>10</v>
      </c>
      <c r="F39" s="80"/>
      <c r="G39" s="254">
        <v>15</v>
      </c>
      <c r="H39" s="217" t="e">
        <f t="shared" si="0"/>
        <v>#VALUE!</v>
      </c>
      <c r="I39" s="78"/>
      <c r="K39"/>
      <c r="L39"/>
    </row>
    <row r="40" spans="1:17" s="6" customFormat="1" ht="24.95" customHeight="1">
      <c r="A40" s="90"/>
      <c r="B40" s="7"/>
      <c r="C40" s="198" t="s">
        <v>44</v>
      </c>
      <c r="D40" s="152" t="e">
        <f>D21*3</f>
        <v>#VALUE!</v>
      </c>
      <c r="E40" s="197" t="s">
        <v>43</v>
      </c>
      <c r="F40" s="80"/>
      <c r="G40" s="219"/>
      <c r="H40" s="217" t="e">
        <f t="shared" si="0"/>
        <v>#VALUE!</v>
      </c>
      <c r="I40" s="78"/>
      <c r="K40"/>
      <c r="L40"/>
    </row>
    <row r="41" spans="1:17" s="6" customFormat="1" ht="24.95" customHeight="1">
      <c r="A41" s="90"/>
      <c r="B41" s="7"/>
      <c r="C41" s="198" t="s">
        <v>53</v>
      </c>
      <c r="D41" s="152">
        <v>1</v>
      </c>
      <c r="E41" s="197" t="s">
        <v>49</v>
      </c>
      <c r="F41" s="80"/>
      <c r="G41" s="254">
        <v>2500</v>
      </c>
      <c r="H41" s="217">
        <f t="shared" si="0"/>
        <v>2500</v>
      </c>
      <c r="I41" s="78"/>
      <c r="K41"/>
      <c r="L41"/>
    </row>
    <row r="42" spans="1:17" s="6" customFormat="1" ht="24.95" customHeight="1">
      <c r="A42" s="90"/>
      <c r="B42" s="7"/>
      <c r="C42" s="198" t="s">
        <v>54</v>
      </c>
      <c r="D42" s="256">
        <v>2</v>
      </c>
      <c r="E42" s="197" t="s">
        <v>55</v>
      </c>
      <c r="F42" s="80"/>
      <c r="G42" s="219">
        <v>150</v>
      </c>
      <c r="H42" s="217">
        <f t="shared" si="0"/>
        <v>300</v>
      </c>
      <c r="I42" s="78"/>
      <c r="K42"/>
      <c r="L42"/>
    </row>
    <row r="43" spans="1:17" s="6" customFormat="1" ht="24.95" customHeight="1">
      <c r="A43" s="90"/>
      <c r="C43" s="198" t="s">
        <v>58</v>
      </c>
      <c r="D43" s="152">
        <v>2</v>
      </c>
      <c r="E43" s="197" t="s">
        <v>48</v>
      </c>
      <c r="F43" s="80"/>
      <c r="G43" s="255">
        <v>1500</v>
      </c>
      <c r="H43" s="217">
        <f t="shared" si="0"/>
        <v>3000</v>
      </c>
      <c r="I43" s="78"/>
      <c r="K43"/>
      <c r="L43"/>
    </row>
    <row r="44" spans="1:17" s="6" customFormat="1" ht="24.95" customHeight="1">
      <c r="A44" s="90"/>
      <c r="C44" s="211" t="s">
        <v>57</v>
      </c>
      <c r="D44" s="152"/>
      <c r="E44" s="197"/>
      <c r="F44" s="80"/>
      <c r="G44" s="204"/>
      <c r="H44" s="237" t="e">
        <f>SUM(H33:H43)</f>
        <v>#VALUE!</v>
      </c>
      <c r="I44" s="78"/>
      <c r="K44"/>
      <c r="L44"/>
    </row>
    <row r="45" spans="1:17" s="6" customFormat="1" ht="24.95" customHeight="1">
      <c r="A45" s="90"/>
      <c r="C45" s="210" t="s">
        <v>56</v>
      </c>
      <c r="D45" s="152"/>
      <c r="E45" s="197"/>
      <c r="F45" s="80"/>
      <c r="G45" s="246" t="e">
        <f>H44*15%</f>
        <v>#VALUE!</v>
      </c>
      <c r="H45" s="237" t="e">
        <f>G45</f>
        <v>#VALUE!</v>
      </c>
      <c r="I45" s="78"/>
      <c r="K45"/>
      <c r="L45"/>
    </row>
    <row r="46" spans="1:17" s="6" customFormat="1" ht="24.95" customHeight="1">
      <c r="A46" s="90"/>
      <c r="C46" s="210" t="s">
        <v>50</v>
      </c>
      <c r="D46" s="152"/>
      <c r="E46" s="197"/>
      <c r="F46" s="80"/>
      <c r="G46" s="204"/>
      <c r="H46" s="238" t="e">
        <f>SUM(H44:H45)</f>
        <v>#VALUE!</v>
      </c>
      <c r="I46" s="78"/>
      <c r="K46"/>
      <c r="L46"/>
    </row>
    <row r="47" spans="1:17" ht="23.1" customHeight="1">
      <c r="A47" s="31"/>
      <c r="B47" s="205"/>
      <c r="C47" s="206"/>
      <c r="D47" s="207"/>
      <c r="E47" s="208"/>
      <c r="F47" s="80"/>
      <c r="G47" s="57"/>
      <c r="H47" s="57"/>
      <c r="I47" s="61"/>
      <c r="K47"/>
      <c r="L47"/>
      <c r="M47" s="6"/>
      <c r="N47" s="6"/>
      <c r="O47" s="6"/>
      <c r="P47" s="6"/>
      <c r="Q47" s="6"/>
    </row>
    <row r="48" spans="1:17" ht="23.1" customHeight="1">
      <c r="A48" s="31"/>
      <c r="B48" s="205"/>
      <c r="C48" s="209"/>
      <c r="D48" s="207"/>
      <c r="E48" s="208"/>
      <c r="F48" s="80"/>
      <c r="G48" s="77"/>
      <c r="H48" s="95" t="s">
        <v>66</v>
      </c>
      <c r="I48" s="81"/>
      <c r="K48"/>
      <c r="L48"/>
      <c r="M48" s="6"/>
      <c r="N48" s="6"/>
      <c r="O48" s="6"/>
      <c r="P48" s="6"/>
      <c r="Q48" s="6"/>
    </row>
    <row r="49" spans="1:17" s="27" customFormat="1" ht="24" customHeight="1">
      <c r="A49" s="183"/>
      <c r="B49" s="91" t="s">
        <v>63</v>
      </c>
      <c r="C49" s="84"/>
      <c r="D49" s="84"/>
      <c r="E49" s="85"/>
      <c r="F49" s="86"/>
      <c r="G49" s="77"/>
      <c r="H49" s="82"/>
      <c r="I49" s="83"/>
      <c r="K49" s="17"/>
      <c r="L49" s="17"/>
      <c r="M49" s="6"/>
      <c r="N49" s="6"/>
      <c r="O49" s="6"/>
      <c r="P49" s="6"/>
      <c r="Q49" s="6"/>
    </row>
    <row r="50" spans="1:17" s="27" customFormat="1" ht="24" customHeight="1">
      <c r="A50" s="183"/>
      <c r="B50" s="91" t="s">
        <v>37</v>
      </c>
      <c r="C50" s="84"/>
      <c r="D50" s="84"/>
      <c r="E50" s="85"/>
      <c r="F50" s="86"/>
      <c r="G50" s="77"/>
      <c r="H50" s="77"/>
      <c r="I50" s="78"/>
      <c r="K50" s="17"/>
      <c r="L50" s="17"/>
      <c r="M50" s="3"/>
      <c r="N50" s="3"/>
      <c r="O50" s="3"/>
      <c r="P50" s="3"/>
      <c r="Q50" s="3"/>
    </row>
    <row r="51" spans="1:17" s="27" customFormat="1" ht="24" customHeight="1">
      <c r="A51" s="183"/>
      <c r="B51" s="92" t="s">
        <v>64</v>
      </c>
      <c r="C51" s="84"/>
      <c r="D51" s="84"/>
      <c r="E51" s="84"/>
      <c r="F51" s="86"/>
      <c r="G51" s="77"/>
      <c r="H51" s="77"/>
      <c r="I51" s="78"/>
      <c r="K51" s="25"/>
      <c r="M51" s="3"/>
      <c r="N51" s="3"/>
      <c r="O51" s="3"/>
      <c r="P51" s="3"/>
      <c r="Q51" s="3"/>
    </row>
    <row r="52" spans="1:17" s="25" customFormat="1" ht="24" customHeight="1">
      <c r="A52" s="184"/>
      <c r="B52" s="93" t="s">
        <v>39</v>
      </c>
      <c r="C52" s="84"/>
      <c r="D52" s="84"/>
      <c r="E52" s="84"/>
      <c r="F52" s="86"/>
      <c r="G52" s="77"/>
      <c r="H52" s="77"/>
      <c r="I52" s="78"/>
      <c r="J52" s="28"/>
      <c r="M52" s="3"/>
      <c r="N52" s="3"/>
      <c r="O52" s="3"/>
      <c r="P52" s="3"/>
      <c r="Q52" s="3"/>
    </row>
    <row r="53" spans="1:17" s="6" customFormat="1" ht="6.95" customHeight="1">
      <c r="A53" s="90"/>
      <c r="B53" s="56"/>
      <c r="C53" s="57"/>
      <c r="D53" s="57"/>
      <c r="E53" s="57"/>
      <c r="F53" s="57"/>
      <c r="G53" s="57"/>
      <c r="H53" s="57"/>
      <c r="I53" s="61"/>
      <c r="J53" s="7"/>
      <c r="M53" s="3"/>
      <c r="N53" s="3"/>
      <c r="O53" s="3"/>
      <c r="P53" s="3"/>
      <c r="Q53" s="3"/>
    </row>
    <row r="54" spans="1:17">
      <c r="A54" s="185"/>
      <c r="B54" s="54"/>
      <c r="C54" s="94" t="s">
        <v>65</v>
      </c>
      <c r="D54" s="239"/>
      <c r="E54" s="55"/>
      <c r="F54" s="55"/>
      <c r="G54" s="55"/>
      <c r="H54" s="55"/>
      <c r="I54" s="79"/>
    </row>
    <row r="60" spans="1:17" ht="3.95" customHeight="1">
      <c r="B60" s="4"/>
      <c r="E60" s="18"/>
      <c r="F60" s="6"/>
      <c r="K60" s="19"/>
    </row>
    <row r="61" spans="1:17" ht="17.100000000000001" customHeight="1">
      <c r="B61" s="7"/>
      <c r="F61" s="3"/>
      <c r="K61" s="9"/>
    </row>
    <row r="62" spans="1:17" ht="17.100000000000001" customHeight="1"/>
    <row r="63" spans="1:17" ht="17.100000000000001" customHeight="1"/>
    <row r="64" spans="1:17" ht="17.100000000000001" customHeight="1"/>
    <row r="65" spans="2:11" ht="17.100000000000001" customHeight="1">
      <c r="J65" s="2"/>
    </row>
    <row r="66" spans="2:11" ht="17.100000000000001" customHeight="1">
      <c r="F66" s="6"/>
      <c r="J66" s="2"/>
    </row>
    <row r="67" spans="2:11" ht="17.100000000000001" customHeight="1">
      <c r="F67" s="18"/>
      <c r="G67" s="18"/>
      <c r="H67" s="18"/>
      <c r="I67" s="18"/>
      <c r="J67" s="2"/>
    </row>
    <row r="68" spans="2:11" ht="6.95" customHeight="1">
      <c r="F68" s="1"/>
      <c r="G68" s="12"/>
      <c r="H68" s="12"/>
      <c r="I68" s="12"/>
      <c r="J68" s="2"/>
    </row>
    <row r="69" spans="2:11" ht="17.100000000000001" customHeight="1">
      <c r="I69" s="1"/>
      <c r="J69" s="2"/>
      <c r="K69" s="8"/>
    </row>
    <row r="70" spans="2:11" ht="17.100000000000001" customHeight="1">
      <c r="J70" s="2"/>
      <c r="K70" s="8"/>
    </row>
    <row r="71" spans="2:11">
      <c r="K71" s="8"/>
    </row>
    <row r="72" spans="2:11">
      <c r="K72" s="8"/>
    </row>
    <row r="74" spans="2:11">
      <c r="K74" s="8"/>
    </row>
    <row r="76" spans="2:11">
      <c r="B76"/>
    </row>
    <row r="77" spans="2:11">
      <c r="B77" s="11"/>
    </row>
    <row r="78" spans="2:11">
      <c r="B78" s="2"/>
    </row>
    <row r="79" spans="2:11">
      <c r="B79" s="2"/>
    </row>
    <row r="80" spans="2:11">
      <c r="F80" s="10"/>
    </row>
    <row r="81" spans="6:9" ht="16.5">
      <c r="F81" s="10"/>
      <c r="I81" s="16"/>
    </row>
    <row r="82" spans="6:9" ht="15.75">
      <c r="I82" s="15"/>
    </row>
  </sheetData>
  <sheetProtection password="8D5F" sheet="1" objects="1" scenarios="1" selectLockedCells="1"/>
  <protectedRanges>
    <protectedRange sqref="D9:D16" name="Range6"/>
    <protectedRange sqref="F27" name="Range4"/>
    <protectedRange sqref="E4:G6" name="Range2"/>
    <protectedRange sqref="C4:C6" name="Range1"/>
    <protectedRange sqref="I4:I6" name="Range3"/>
    <protectedRange sqref="I27" name="Range5"/>
  </protectedRanges>
  <phoneticPr fontId="3"/>
  <conditionalFormatting sqref="D14">
    <cfRule type="cellIs" dxfId="12" priority="51" stopIfTrue="1" operator="equal">
      <formula>1</formula>
    </cfRule>
  </conditionalFormatting>
  <conditionalFormatting sqref="C23">
    <cfRule type="expression" dxfId="11" priority="45">
      <formula>NOT(ISERROR(SEARCH("This design requires FULL lths + 1 cut section of AES pipe.",C23)))</formula>
    </cfRule>
  </conditionalFormatting>
  <conditionalFormatting sqref="C24">
    <cfRule type="expression" dxfId="10" priority="44">
      <formula>NOT(ISERROR(SEARCH("This AES row contains 1 cut length of AES pipe.",C24)))</formula>
    </cfRule>
  </conditionalFormatting>
  <conditionalFormatting sqref="D23">
    <cfRule type="expression" dxfId="9" priority="35">
      <formula>$D$23=0</formula>
    </cfRule>
  </conditionalFormatting>
  <conditionalFormatting sqref="H25:I25">
    <cfRule type="expression" dxfId="8" priority="32">
      <formula>$H$25=0</formula>
    </cfRule>
  </conditionalFormatting>
  <conditionalFormatting sqref="C12">
    <cfRule type="expression" dxfId="7" priority="26">
      <formula>NOT(ISERROR(SEARCH("Is this a trench extension option? If not. The minimum number of AES rows required is 2 ",C12)))</formula>
    </cfRule>
  </conditionalFormatting>
  <conditionalFormatting sqref="F31:H31">
    <cfRule type="cellIs" dxfId="6" priority="25" operator="equal">
      <formula>" YOU MUST -  CHANGE THE NUMBER OF ROWS to 2"</formula>
    </cfRule>
  </conditionalFormatting>
  <conditionalFormatting sqref="G31:H31">
    <cfRule type="cellIs" dxfId="5" priority="23" operator="equal">
      <formula>"   YOU MUST CHANGE THE NUMBER OF ROW TO 2"</formula>
    </cfRule>
  </conditionalFormatting>
  <conditionalFormatting sqref="G31:H31">
    <cfRule type="expression" dxfId="4" priority="18">
      <formula>$F$31=" YOU MUST -  CHANGE THE NUMBER OF ROWS to 2"</formula>
    </cfRule>
  </conditionalFormatting>
  <conditionalFormatting sqref="I22:I23">
    <cfRule type="expression" dxfId="3" priority="6">
      <formula>$F$27="y"</formula>
    </cfRule>
  </conditionalFormatting>
  <conditionalFormatting sqref="B29:D30">
    <cfRule type="expression" dxfId="2" priority="2">
      <formula>$B$30="               Clear the Y and your custom width"</formula>
    </cfRule>
  </conditionalFormatting>
  <conditionalFormatting sqref="H22:H23">
    <cfRule type="expression" dxfId="1" priority="1">
      <formula>$F$27="y"</formula>
    </cfRule>
  </conditionalFormatting>
  <conditionalFormatting sqref="B31:H31">
    <cfRule type="expression" dxfId="0" priority="52">
      <formula>$D$12=1</formula>
    </cfRule>
  </conditionalFormatting>
  <hyperlinks>
    <hyperlink ref="H48" r:id="rId1"/>
  </hyperlinks>
  <printOptions horizontalCentered="1" verticalCentered="1"/>
  <pageMargins left="0.19685039370078741" right="0.19685039370078741" top="0.19685039370078741" bottom="0.19685039370078741" header="0" footer="0"/>
  <pageSetup paperSize="9" scale="50" orientation="portrait" horizontalDpi="1200" verticalDpi="1200" r:id="rId2"/>
  <drawing r:id="rId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2004 Test Drive User</dc:creator>
  <cp:lastModifiedBy>Sian Clement</cp:lastModifiedBy>
  <cp:lastPrinted>2013-12-18T05:39:26Z</cp:lastPrinted>
  <dcterms:created xsi:type="dcterms:W3CDTF">2011-03-21T22:19:36Z</dcterms:created>
  <dcterms:modified xsi:type="dcterms:W3CDTF">2014-11-23T23:39:46Z</dcterms:modified>
</cp:coreProperties>
</file>